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zgh-my.sharepoint.com/personal/msikic_zgh_hr/Documents/2. FINANCE&amp;REPORTING/1. Budgets-cashflows/a) Budgets-cashflows quarterly/2025/Plan/"/>
    </mc:Choice>
  </mc:AlternateContent>
  <xr:revisionPtr revIDLastSave="171" documentId="11_65F83C566726B0B6C0CE2D0C7B6FF57B9B417CE2" xr6:coauthVersionLast="47" xr6:coauthVersionMax="47" xr10:uidLastSave="{6977E7CA-430D-4389-A55B-3882AA71258F}"/>
  <bookViews>
    <workbookView xWindow="-120" yWindow="-120" windowWidth="29040" windowHeight="15840" firstSheet="6" activeTab="10" xr2:uid="{00000000-000D-0000-FFFF-FFFF00000000}"/>
  </bookViews>
  <sheets>
    <sheet name="1-Zaposlenost" sheetId="6" r:id="rId1"/>
    <sheet name="2-Račun dobiti i gubitka" sheetId="3" r:id="rId2"/>
    <sheet name="3-Bilanca" sheetId="5" r:id="rId3"/>
    <sheet name="4-Investicije(A)" sheetId="4" r:id="rId4"/>
    <sheet name="5-Novčani tijek" sheetId="8" r:id="rId5"/>
    <sheet name="7-Tablice plana" sheetId="1" r:id="rId6"/>
    <sheet name="8-Prihodi sajmova" sheetId="9" r:id="rId7"/>
    <sheet name="9-Prihodi dog.i priv.najam" sheetId="10" r:id="rId8"/>
    <sheet name="10-Prihodi zakup" sheetId="11" r:id="rId9"/>
    <sheet name="11-FOI" sheetId="12" r:id="rId10"/>
    <sheet name="12-Tekuće održavanje" sheetId="13" r:id="rId11"/>
    <sheet name="13-Utrošak energije" sheetId="14" r:id="rId12"/>
    <sheet name="14 - Investicije (B)" sheetId="15" r:id="rId13"/>
    <sheet name="15-Investicije (C)" sheetId="16" r:id="rId14"/>
    <sheet name="16-Ključni pokazatelji" sheetId="17" r:id="rId15"/>
  </sheets>
  <externalReferences>
    <externalReference r:id="rId16"/>
    <externalReference r:id="rId17"/>
  </externalReferences>
  <definedNames>
    <definedName name="aktiva1" localSheetId="2">'3-Bilanca'!$J$27</definedName>
    <definedName name="pasiva1" localSheetId="2">'3-Bilanca'!$J$73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7" l="1"/>
  <c r="G32" i="17" s="1"/>
  <c r="E32" i="17"/>
  <c r="F30" i="17"/>
  <c r="E30" i="17"/>
  <c r="G28" i="17"/>
  <c r="G27" i="17"/>
  <c r="G26" i="17"/>
  <c r="F25" i="17"/>
  <c r="E25" i="17"/>
  <c r="F23" i="17"/>
  <c r="G23" i="17" s="1"/>
  <c r="E23" i="17"/>
  <c r="F20" i="17"/>
  <c r="E20" i="17"/>
  <c r="G20" i="17" s="1"/>
  <c r="F17" i="17"/>
  <c r="E17" i="17"/>
  <c r="G17" i="17" s="1"/>
  <c r="F15" i="17"/>
  <c r="E15" i="17"/>
  <c r="F13" i="17"/>
  <c r="E13" i="17"/>
  <c r="G13" i="17" s="1"/>
  <c r="F11" i="17"/>
  <c r="E11" i="17"/>
  <c r="G11" i="17" s="1"/>
  <c r="C74" i="16"/>
  <c r="C70" i="16"/>
  <c r="C59" i="16"/>
  <c r="C48" i="16"/>
  <c r="C42" i="16"/>
  <c r="C38" i="16"/>
  <c r="C35" i="16"/>
  <c r="C31" i="16"/>
  <c r="C29" i="16" s="1"/>
  <c r="C28" i="16" s="1"/>
  <c r="C27" i="16" s="1"/>
  <c r="C8" i="16"/>
  <c r="O21" i="15"/>
  <c r="N21" i="15"/>
  <c r="M21" i="15"/>
  <c r="L21" i="15"/>
  <c r="H21" i="15"/>
  <c r="F21" i="15"/>
  <c r="D21" i="15"/>
  <c r="O20" i="15"/>
  <c r="N20" i="15"/>
  <c r="M20" i="15"/>
  <c r="L20" i="15"/>
  <c r="H20" i="15"/>
  <c r="F20" i="15"/>
  <c r="D20" i="15"/>
  <c r="O19" i="15"/>
  <c r="N19" i="15"/>
  <c r="M19" i="15"/>
  <c r="L19" i="15"/>
  <c r="H19" i="15"/>
  <c r="F19" i="15"/>
  <c r="D19" i="15"/>
  <c r="O18" i="15"/>
  <c r="N18" i="15"/>
  <c r="M18" i="15"/>
  <c r="L18" i="15"/>
  <c r="H18" i="15"/>
  <c r="F18" i="15"/>
  <c r="D18" i="15"/>
  <c r="O17" i="15"/>
  <c r="N17" i="15"/>
  <c r="M17" i="15"/>
  <c r="L17" i="15"/>
  <c r="H17" i="15"/>
  <c r="F17" i="15"/>
  <c r="D17" i="15"/>
  <c r="O16" i="15"/>
  <c r="N16" i="15"/>
  <c r="M16" i="15"/>
  <c r="L16" i="15"/>
  <c r="H16" i="15"/>
  <c r="F16" i="15"/>
  <c r="D16" i="15"/>
  <c r="O15" i="15"/>
  <c r="N15" i="15"/>
  <c r="M15" i="15"/>
  <c r="L15" i="15"/>
  <c r="H15" i="15"/>
  <c r="F15" i="15"/>
  <c r="D15" i="15"/>
  <c r="M14" i="15"/>
  <c r="I14" i="15"/>
  <c r="K14" i="15" s="1"/>
  <c r="G14" i="15"/>
  <c r="G10" i="15" s="1"/>
  <c r="O13" i="15"/>
  <c r="N13" i="15"/>
  <c r="M13" i="15"/>
  <c r="L13" i="15"/>
  <c r="H13" i="15"/>
  <c r="F13" i="15"/>
  <c r="D13" i="15"/>
  <c r="O12" i="15"/>
  <c r="N12" i="15"/>
  <c r="M12" i="15"/>
  <c r="L12" i="15"/>
  <c r="H12" i="15"/>
  <c r="F12" i="15"/>
  <c r="D12" i="15"/>
  <c r="J11" i="15"/>
  <c r="J22" i="15" s="1"/>
  <c r="J24" i="15" s="1"/>
  <c r="E11" i="15"/>
  <c r="C11" i="15"/>
  <c r="M11" i="15" s="1"/>
  <c r="J10" i="15"/>
  <c r="E10" i="15"/>
  <c r="E22" i="15" s="1"/>
  <c r="H99" i="4"/>
  <c r="H98" i="4"/>
  <c r="H97" i="4"/>
  <c r="H93" i="4"/>
  <c r="J92" i="4"/>
  <c r="H92" i="4"/>
  <c r="K92" i="4" s="1"/>
  <c r="H90" i="4"/>
  <c r="H89" i="4"/>
  <c r="H88" i="4"/>
  <c r="K87" i="4"/>
  <c r="H87" i="4"/>
  <c r="E87" i="4"/>
  <c r="J87" i="4" s="1"/>
  <c r="H86" i="4"/>
  <c r="K86" i="4" s="1"/>
  <c r="E86" i="4"/>
  <c r="J86" i="4" s="1"/>
  <c r="G85" i="4"/>
  <c r="H85" i="4" s="1"/>
  <c r="F85" i="4"/>
  <c r="D85" i="4"/>
  <c r="C85" i="4"/>
  <c r="J84" i="4"/>
  <c r="H84" i="4"/>
  <c r="H83" i="4"/>
  <c r="J82" i="4"/>
  <c r="H82" i="4"/>
  <c r="J81" i="4"/>
  <c r="H81" i="4"/>
  <c r="K81" i="4" s="1"/>
  <c r="G80" i="4"/>
  <c r="F80" i="4"/>
  <c r="H80" i="4" s="1"/>
  <c r="K80" i="4" s="1"/>
  <c r="E80" i="4"/>
  <c r="J80" i="4" s="1"/>
  <c r="D80" i="4"/>
  <c r="C80" i="4"/>
  <c r="K79" i="4"/>
  <c r="J79" i="4"/>
  <c r="I79" i="4"/>
  <c r="H79" i="4"/>
  <c r="F79" i="4"/>
  <c r="H78" i="4"/>
  <c r="H77" i="4"/>
  <c r="H76" i="4"/>
  <c r="J75" i="4"/>
  <c r="H75" i="4"/>
  <c r="H74" i="4"/>
  <c r="K73" i="4"/>
  <c r="J73" i="4"/>
  <c r="H73" i="4"/>
  <c r="E73" i="4"/>
  <c r="I73" i="4" s="1"/>
  <c r="H72" i="4"/>
  <c r="J71" i="4"/>
  <c r="I71" i="4"/>
  <c r="F71" i="4"/>
  <c r="H71" i="4" s="1"/>
  <c r="K71" i="4" s="1"/>
  <c r="H70" i="4"/>
  <c r="G69" i="4"/>
  <c r="D69" i="4"/>
  <c r="C69" i="4"/>
  <c r="H68" i="4"/>
  <c r="H67" i="4"/>
  <c r="H66" i="4"/>
  <c r="K65" i="4"/>
  <c r="J65" i="4"/>
  <c r="H65" i="4"/>
  <c r="H64" i="4"/>
  <c r="H63" i="4"/>
  <c r="H62" i="4"/>
  <c r="H61" i="4"/>
  <c r="H60" i="4"/>
  <c r="H59" i="4"/>
  <c r="E58" i="4"/>
  <c r="J58" i="4" s="1"/>
  <c r="I57" i="4"/>
  <c r="H57" i="4"/>
  <c r="K57" i="4" s="1"/>
  <c r="E57" i="4"/>
  <c r="J57" i="4" s="1"/>
  <c r="F56" i="4"/>
  <c r="H56" i="4" s="1"/>
  <c r="H55" i="4"/>
  <c r="J54" i="4"/>
  <c r="H54" i="4"/>
  <c r="K54" i="4" s="1"/>
  <c r="H53" i="4"/>
  <c r="G52" i="4"/>
  <c r="D52" i="4"/>
  <c r="C52" i="4"/>
  <c r="J51" i="4"/>
  <c r="H51" i="4"/>
  <c r="K51" i="4" s="1"/>
  <c r="J50" i="4"/>
  <c r="H50" i="4"/>
  <c r="K50" i="4" s="1"/>
  <c r="H49" i="4"/>
  <c r="K48" i="4"/>
  <c r="J48" i="4"/>
  <c r="I48" i="4"/>
  <c r="H48" i="4"/>
  <c r="H47" i="4"/>
  <c r="J46" i="4"/>
  <c r="I46" i="4"/>
  <c r="G46" i="4"/>
  <c r="F46" i="4"/>
  <c r="H46" i="4" s="1"/>
  <c r="K46" i="4" s="1"/>
  <c r="E46" i="4"/>
  <c r="D46" i="4"/>
  <c r="C46" i="4"/>
  <c r="H45" i="4"/>
  <c r="H44" i="4"/>
  <c r="H43" i="4"/>
  <c r="H42" i="4"/>
  <c r="H41" i="4"/>
  <c r="H40" i="4"/>
  <c r="G40" i="4"/>
  <c r="F40" i="4"/>
  <c r="E40" i="4"/>
  <c r="D40" i="4"/>
  <c r="C40" i="4"/>
  <c r="H39" i="4"/>
  <c r="J38" i="4"/>
  <c r="F38" i="4"/>
  <c r="H38" i="4" s="1"/>
  <c r="K38" i="4" s="1"/>
  <c r="J37" i="4"/>
  <c r="G37" i="4"/>
  <c r="E37" i="4"/>
  <c r="D37" i="4"/>
  <c r="H36" i="4"/>
  <c r="H35" i="4"/>
  <c r="J34" i="4"/>
  <c r="I34" i="4"/>
  <c r="H34" i="4"/>
  <c r="K34" i="4" s="1"/>
  <c r="K33" i="4"/>
  <c r="H33" i="4"/>
  <c r="G33" i="4"/>
  <c r="F33" i="4"/>
  <c r="E33" i="4"/>
  <c r="J33" i="4" s="1"/>
  <c r="D33" i="4"/>
  <c r="C33" i="4"/>
  <c r="I33" i="4" s="1"/>
  <c r="H32" i="4"/>
  <c r="J31" i="4"/>
  <c r="G31" i="4"/>
  <c r="E31" i="4"/>
  <c r="D31" i="4"/>
  <c r="D30" i="4" s="1"/>
  <c r="D29" i="4" s="1"/>
  <c r="D102" i="4" s="1"/>
  <c r="G30" i="4"/>
  <c r="G29" i="4" s="1"/>
  <c r="G102" i="4" s="1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G8" i="4"/>
  <c r="F8" i="4"/>
  <c r="E8" i="4"/>
  <c r="D8" i="4"/>
  <c r="C8" i="4"/>
  <c r="G10" i="14"/>
  <c r="J10" i="14" s="1"/>
  <c r="F10" i="14"/>
  <c r="I10" i="14" s="1"/>
  <c r="E10" i="14"/>
  <c r="D10" i="14"/>
  <c r="J9" i="14"/>
  <c r="G9" i="14"/>
  <c r="F9" i="14"/>
  <c r="H9" i="14" s="1"/>
  <c r="E9" i="14"/>
  <c r="I9" i="14" s="1"/>
  <c r="D9" i="14"/>
  <c r="G8" i="14"/>
  <c r="J8" i="14" s="1"/>
  <c r="F8" i="14"/>
  <c r="I7" i="14"/>
  <c r="H7" i="14"/>
  <c r="G7" i="14"/>
  <c r="J7" i="14" s="1"/>
  <c r="F7" i="14"/>
  <c r="F11" i="14" s="1"/>
  <c r="E7" i="14"/>
  <c r="E11" i="14" s="1"/>
  <c r="D7" i="14"/>
  <c r="D11" i="14" s="1"/>
  <c r="F33" i="13"/>
  <c r="E33" i="13"/>
  <c r="D33" i="13"/>
  <c r="F32" i="13"/>
  <c r="E32" i="13"/>
  <c r="D32" i="13"/>
  <c r="C32" i="13"/>
  <c r="H31" i="13"/>
  <c r="F31" i="13"/>
  <c r="E31" i="13"/>
  <c r="D31" i="13"/>
  <c r="C31" i="13"/>
  <c r="G31" i="13" s="1"/>
  <c r="F30" i="13"/>
  <c r="E30" i="13"/>
  <c r="I30" i="13" s="1"/>
  <c r="D30" i="13"/>
  <c r="C30" i="13"/>
  <c r="F29" i="13"/>
  <c r="E29" i="13"/>
  <c r="D29" i="13"/>
  <c r="C29" i="13"/>
  <c r="F28" i="13"/>
  <c r="E28" i="13"/>
  <c r="D28" i="13"/>
  <c r="C28" i="13"/>
  <c r="G28" i="13" s="1"/>
  <c r="F27" i="13"/>
  <c r="E27" i="13"/>
  <c r="D27" i="13"/>
  <c r="C27" i="13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H23" i="13" s="1"/>
  <c r="C23" i="13"/>
  <c r="F22" i="13"/>
  <c r="I22" i="13" s="1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G15" i="13" s="1"/>
  <c r="D15" i="13"/>
  <c r="C15" i="13"/>
  <c r="F14" i="13"/>
  <c r="I14" i="13" s="1"/>
  <c r="E14" i="13"/>
  <c r="D14" i="13"/>
  <c r="C14" i="13"/>
  <c r="F13" i="13"/>
  <c r="E13" i="13"/>
  <c r="D13" i="13"/>
  <c r="C13" i="13"/>
  <c r="F12" i="13"/>
  <c r="E12" i="13"/>
  <c r="D12" i="13"/>
  <c r="H12" i="13" s="1"/>
  <c r="C12" i="13"/>
  <c r="F11" i="13"/>
  <c r="E11" i="13"/>
  <c r="D11" i="13"/>
  <c r="C11" i="13"/>
  <c r="F10" i="13"/>
  <c r="E10" i="13"/>
  <c r="I10" i="13" s="1"/>
  <c r="D10" i="13"/>
  <c r="C10" i="13"/>
  <c r="H9" i="13"/>
  <c r="G9" i="13"/>
  <c r="F9" i="13"/>
  <c r="I9" i="13" s="1"/>
  <c r="E9" i="13"/>
  <c r="D9" i="13"/>
  <c r="C9" i="13"/>
  <c r="F8" i="13"/>
  <c r="F7" i="13" s="1"/>
  <c r="E8" i="13"/>
  <c r="G12" i="12"/>
  <c r="F12" i="12"/>
  <c r="J12" i="12" s="1"/>
  <c r="G11" i="12"/>
  <c r="F11" i="12"/>
  <c r="H11" i="12" s="1"/>
  <c r="E11" i="12"/>
  <c r="I11" i="12" s="1"/>
  <c r="D11" i="12"/>
  <c r="G10" i="12"/>
  <c r="F10" i="12"/>
  <c r="J10" i="12" s="1"/>
  <c r="E10" i="12"/>
  <c r="D10" i="12"/>
  <c r="G9" i="12"/>
  <c r="F9" i="12"/>
  <c r="I9" i="12" s="1"/>
  <c r="E9" i="12"/>
  <c r="D9" i="12"/>
  <c r="G8" i="12"/>
  <c r="F8" i="12"/>
  <c r="H8" i="12" s="1"/>
  <c r="E8" i="12"/>
  <c r="D8" i="12"/>
  <c r="J7" i="12"/>
  <c r="I7" i="12"/>
  <c r="H7" i="12"/>
  <c r="J13" i="11"/>
  <c r="M13" i="11" s="1"/>
  <c r="I13" i="11"/>
  <c r="H13" i="11"/>
  <c r="K13" i="11" s="1"/>
  <c r="G13" i="11"/>
  <c r="F13" i="11"/>
  <c r="L13" i="11" s="1"/>
  <c r="E13" i="11"/>
  <c r="D13" i="11"/>
  <c r="C13" i="11"/>
  <c r="J12" i="11"/>
  <c r="M12" i="11" s="1"/>
  <c r="I12" i="11"/>
  <c r="H12" i="11"/>
  <c r="L12" i="11" s="1"/>
  <c r="G12" i="11"/>
  <c r="F12" i="11"/>
  <c r="E12" i="11"/>
  <c r="D12" i="11"/>
  <c r="C12" i="11"/>
  <c r="J11" i="11"/>
  <c r="M11" i="11" s="1"/>
  <c r="I11" i="11"/>
  <c r="H11" i="11"/>
  <c r="L11" i="11" s="1"/>
  <c r="G11" i="11"/>
  <c r="F11" i="11"/>
  <c r="E11" i="11"/>
  <c r="D11" i="11"/>
  <c r="C11" i="11"/>
  <c r="J10" i="11"/>
  <c r="M10" i="11" s="1"/>
  <c r="I10" i="11"/>
  <c r="H10" i="11"/>
  <c r="L10" i="11" s="1"/>
  <c r="G10" i="11"/>
  <c r="F10" i="11"/>
  <c r="E10" i="11"/>
  <c r="D10" i="11"/>
  <c r="C10" i="11"/>
  <c r="J9" i="11"/>
  <c r="M9" i="11" s="1"/>
  <c r="I9" i="11"/>
  <c r="H9" i="11"/>
  <c r="L9" i="11" s="1"/>
  <c r="G9" i="11"/>
  <c r="F9" i="11"/>
  <c r="E9" i="11"/>
  <c r="D9" i="11"/>
  <c r="C9" i="11"/>
  <c r="J8" i="11"/>
  <c r="M8" i="11" s="1"/>
  <c r="I8" i="11"/>
  <c r="I14" i="11" s="1"/>
  <c r="H8" i="11"/>
  <c r="L8" i="11" s="1"/>
  <c r="G8" i="11"/>
  <c r="G14" i="11" s="1"/>
  <c r="F8" i="11"/>
  <c r="F14" i="11" s="1"/>
  <c r="E8" i="11"/>
  <c r="E14" i="11" s="1"/>
  <c r="D8" i="11"/>
  <c r="D14" i="11" s="1"/>
  <c r="C8" i="11"/>
  <c r="C14" i="11" s="1"/>
  <c r="F13" i="10"/>
  <c r="E13" i="10"/>
  <c r="I13" i="10" s="1"/>
  <c r="D13" i="10"/>
  <c r="C13" i="10"/>
  <c r="I12" i="10"/>
  <c r="G12" i="10"/>
  <c r="F12" i="10"/>
  <c r="E12" i="10"/>
  <c r="H12" i="10" s="1"/>
  <c r="D12" i="10"/>
  <c r="C12" i="10"/>
  <c r="F11" i="10"/>
  <c r="E11" i="10"/>
  <c r="D11" i="10"/>
  <c r="C11" i="10"/>
  <c r="H10" i="10"/>
  <c r="F10" i="10"/>
  <c r="I10" i="10" s="1"/>
  <c r="E10" i="10"/>
  <c r="G10" i="10" s="1"/>
  <c r="D10" i="10"/>
  <c r="C10" i="10"/>
  <c r="F9" i="10"/>
  <c r="I9" i="10" s="1"/>
  <c r="E9" i="10"/>
  <c r="H9" i="10" s="1"/>
  <c r="D9" i="10"/>
  <c r="C9" i="10"/>
  <c r="G9" i="10" s="1"/>
  <c r="H8" i="10"/>
  <c r="F8" i="10"/>
  <c r="I8" i="10" s="1"/>
  <c r="E8" i="10"/>
  <c r="G8" i="10" s="1"/>
  <c r="D8" i="10"/>
  <c r="C8" i="10"/>
  <c r="F7" i="10"/>
  <c r="F14" i="10" s="1"/>
  <c r="E7" i="10"/>
  <c r="G7" i="10" s="1"/>
  <c r="D7" i="10"/>
  <c r="D14" i="10" s="1"/>
  <c r="C7" i="10"/>
  <c r="C14" i="10" s="1"/>
  <c r="I17" i="9"/>
  <c r="L17" i="9" s="1"/>
  <c r="H17" i="9"/>
  <c r="G17" i="9"/>
  <c r="K17" i="9" s="1"/>
  <c r="F17" i="9"/>
  <c r="E17" i="9"/>
  <c r="D17" i="9"/>
  <c r="C17" i="9"/>
  <c r="I16" i="9"/>
  <c r="H16" i="9"/>
  <c r="G16" i="9"/>
  <c r="K16" i="9" s="1"/>
  <c r="F16" i="9"/>
  <c r="E16" i="9"/>
  <c r="D16" i="9"/>
  <c r="I15" i="9"/>
  <c r="L15" i="9" s="1"/>
  <c r="H15" i="9"/>
  <c r="G15" i="9"/>
  <c r="F15" i="9"/>
  <c r="E15" i="9"/>
  <c r="D15" i="9"/>
  <c r="C15" i="9"/>
  <c r="B15" i="9"/>
  <c r="C14" i="9"/>
  <c r="B14" i="9"/>
  <c r="I13" i="9"/>
  <c r="L13" i="9" s="1"/>
  <c r="H13" i="9"/>
  <c r="G13" i="9"/>
  <c r="F13" i="9"/>
  <c r="E13" i="9"/>
  <c r="D13" i="9"/>
  <c r="C13" i="9"/>
  <c r="B13" i="9"/>
  <c r="L12" i="9"/>
  <c r="J12" i="9"/>
  <c r="G12" i="9"/>
  <c r="F12" i="9"/>
  <c r="E12" i="9"/>
  <c r="D12" i="9"/>
  <c r="L11" i="9"/>
  <c r="J11" i="9"/>
  <c r="G11" i="9"/>
  <c r="F11" i="9"/>
  <c r="E11" i="9"/>
  <c r="D11" i="9"/>
  <c r="I10" i="9"/>
  <c r="H10" i="9"/>
  <c r="G10" i="9"/>
  <c r="F10" i="9"/>
  <c r="E10" i="9"/>
  <c r="D10" i="9"/>
  <c r="C10" i="9"/>
  <c r="B10" i="9"/>
  <c r="I9" i="9"/>
  <c r="H9" i="9"/>
  <c r="G9" i="9"/>
  <c r="J9" i="9" s="1"/>
  <c r="F9" i="9"/>
  <c r="E9" i="9"/>
  <c r="D9" i="9"/>
  <c r="C9" i="9"/>
  <c r="B9" i="9"/>
  <c r="I8" i="9"/>
  <c r="I18" i="9" s="1"/>
  <c r="H8" i="9"/>
  <c r="H18" i="9" s="1"/>
  <c r="G8" i="9"/>
  <c r="F8" i="9"/>
  <c r="E8" i="9"/>
  <c r="D8" i="9"/>
  <c r="C8" i="9"/>
  <c r="B8" i="9"/>
  <c r="B18" i="9" s="1"/>
  <c r="F47" i="1"/>
  <c r="E47" i="1"/>
  <c r="D47" i="1"/>
  <c r="C47" i="1"/>
  <c r="F46" i="1"/>
  <c r="E46" i="1"/>
  <c r="D46" i="1"/>
  <c r="C46" i="1"/>
  <c r="F45" i="1"/>
  <c r="E45" i="1"/>
  <c r="G45" i="1" s="1"/>
  <c r="D45" i="1"/>
  <c r="C45" i="1"/>
  <c r="H46" i="1" l="1"/>
  <c r="G15" i="17"/>
  <c r="G30" i="17"/>
  <c r="C85" i="16"/>
  <c r="C86" i="16" s="1"/>
  <c r="G11" i="15"/>
  <c r="N11" i="15" s="1"/>
  <c r="I10" i="15"/>
  <c r="K10" i="15" s="1"/>
  <c r="O10" i="15" s="1"/>
  <c r="N14" i="15"/>
  <c r="N10" i="15"/>
  <c r="M10" i="15"/>
  <c r="O14" i="15"/>
  <c r="K11" i="15"/>
  <c r="E24" i="15"/>
  <c r="C22" i="15"/>
  <c r="D11" i="15"/>
  <c r="F11" i="15"/>
  <c r="I11" i="15"/>
  <c r="K85" i="4"/>
  <c r="E30" i="4"/>
  <c r="E52" i="4"/>
  <c r="C31" i="4"/>
  <c r="F52" i="4"/>
  <c r="H52" i="4" s="1"/>
  <c r="K52" i="4" s="1"/>
  <c r="F58" i="4"/>
  <c r="H58" i="4" s="1"/>
  <c r="K58" i="4" s="1"/>
  <c r="H8" i="4"/>
  <c r="E69" i="4"/>
  <c r="E85" i="4"/>
  <c r="F69" i="4"/>
  <c r="H69" i="4" s="1"/>
  <c r="K69" i="4" s="1"/>
  <c r="F37" i="4"/>
  <c r="I11" i="14"/>
  <c r="H11" i="14"/>
  <c r="H10" i="14"/>
  <c r="G11" i="14"/>
  <c r="J11" i="14" s="1"/>
  <c r="I16" i="13"/>
  <c r="H26" i="13"/>
  <c r="G23" i="13"/>
  <c r="H29" i="13"/>
  <c r="H21" i="13"/>
  <c r="I18" i="13"/>
  <c r="I21" i="13"/>
  <c r="H33" i="13"/>
  <c r="E7" i="13"/>
  <c r="I7" i="13" s="1"/>
  <c r="G19" i="13"/>
  <c r="H11" i="13"/>
  <c r="G14" i="13"/>
  <c r="I25" i="13"/>
  <c r="H13" i="13"/>
  <c r="I19" i="13"/>
  <c r="G26" i="13"/>
  <c r="G29" i="13"/>
  <c r="I20" i="13"/>
  <c r="G12" i="13"/>
  <c r="I23" i="13"/>
  <c r="I26" i="13"/>
  <c r="H15" i="13"/>
  <c r="G32" i="13"/>
  <c r="C8" i="13"/>
  <c r="C7" i="13" s="1"/>
  <c r="I15" i="13"/>
  <c r="G21" i="13"/>
  <c r="I32" i="13"/>
  <c r="I13" i="13"/>
  <c r="H25" i="13"/>
  <c r="I8" i="13"/>
  <c r="H14" i="13"/>
  <c r="H18" i="13"/>
  <c r="I31" i="13"/>
  <c r="I11" i="13"/>
  <c r="G16" i="13"/>
  <c r="H19" i="13"/>
  <c r="H32" i="13"/>
  <c r="H16" i="13"/>
  <c r="I12" i="13"/>
  <c r="H22" i="13"/>
  <c r="I24" i="13"/>
  <c r="G27" i="13"/>
  <c r="D8" i="13"/>
  <c r="D7" i="13" s="1"/>
  <c r="I17" i="13"/>
  <c r="H20" i="13"/>
  <c r="G22" i="13"/>
  <c r="I33" i="13"/>
  <c r="G10" i="13"/>
  <c r="G17" i="13"/>
  <c r="G24" i="13"/>
  <c r="H30" i="13"/>
  <c r="H10" i="13"/>
  <c r="H17" i="13"/>
  <c r="H24" i="13"/>
  <c r="G33" i="13"/>
  <c r="G13" i="13"/>
  <c r="G20" i="13"/>
  <c r="H10" i="12"/>
  <c r="I8" i="12"/>
  <c r="J8" i="12"/>
  <c r="J11" i="12"/>
  <c r="J9" i="12"/>
  <c r="H9" i="12"/>
  <c r="H12" i="12"/>
  <c r="I12" i="12"/>
  <c r="I10" i="12"/>
  <c r="H47" i="1"/>
  <c r="I47" i="1"/>
  <c r="F48" i="1"/>
  <c r="C48" i="1"/>
  <c r="D48" i="1"/>
  <c r="C18" i="9"/>
  <c r="K10" i="9"/>
  <c r="K12" i="9"/>
  <c r="D18" i="9"/>
  <c r="L10" i="9"/>
  <c r="L16" i="9"/>
  <c r="E18" i="9"/>
  <c r="L9" i="9"/>
  <c r="K11" i="9"/>
  <c r="K15" i="9"/>
  <c r="F18" i="9"/>
  <c r="G18" i="9"/>
  <c r="K18" i="9" s="1"/>
  <c r="J13" i="9"/>
  <c r="H14" i="11"/>
  <c r="J14" i="11"/>
  <c r="K8" i="11"/>
  <c r="K9" i="11"/>
  <c r="K10" i="11"/>
  <c r="K11" i="11"/>
  <c r="K12" i="11"/>
  <c r="I14" i="10"/>
  <c r="G13" i="10"/>
  <c r="H7" i="10"/>
  <c r="I7" i="10"/>
  <c r="H13" i="10"/>
  <c r="E14" i="10"/>
  <c r="J10" i="9"/>
  <c r="J8" i="9"/>
  <c r="K9" i="9"/>
  <c r="K13" i="9"/>
  <c r="J15" i="9"/>
  <c r="K8" i="9"/>
  <c r="L8" i="9"/>
  <c r="I46" i="1"/>
  <c r="H45" i="1"/>
  <c r="I45" i="1"/>
  <c r="G47" i="1"/>
  <c r="G46" i="1"/>
  <c r="E48" i="1"/>
  <c r="O11" i="15" l="1"/>
  <c r="G22" i="15"/>
  <c r="G24" i="15" s="1"/>
  <c r="N24" i="15" s="1"/>
  <c r="O22" i="15"/>
  <c r="F10" i="15"/>
  <c r="F24" i="15"/>
  <c r="C24" i="15"/>
  <c r="K22" i="15"/>
  <c r="K24" i="15" s="1"/>
  <c r="K26" i="15" s="1"/>
  <c r="I22" i="15"/>
  <c r="H37" i="4"/>
  <c r="K37" i="4" s="1"/>
  <c r="F31" i="4"/>
  <c r="J69" i="4"/>
  <c r="I69" i="4"/>
  <c r="J85" i="4"/>
  <c r="I85" i="4"/>
  <c r="I31" i="4"/>
  <c r="C30" i="4"/>
  <c r="C29" i="4" s="1"/>
  <c r="C102" i="4" s="1"/>
  <c r="J52" i="4"/>
  <c r="I52" i="4"/>
  <c r="J30" i="4"/>
  <c r="I30" i="4"/>
  <c r="E29" i="4"/>
  <c r="H8" i="13"/>
  <c r="G8" i="13"/>
  <c r="H7" i="13"/>
  <c r="G7" i="13"/>
  <c r="I48" i="1"/>
  <c r="L18" i="9"/>
  <c r="J18" i="9"/>
  <c r="M14" i="11"/>
  <c r="L14" i="11"/>
  <c r="K14" i="11"/>
  <c r="H14" i="10"/>
  <c r="G14" i="10"/>
  <c r="H48" i="1"/>
  <c r="G48" i="1"/>
  <c r="N22" i="15" l="1"/>
  <c r="M22" i="15"/>
  <c r="I24" i="15"/>
  <c r="O24" i="15"/>
  <c r="H24" i="15"/>
  <c r="H10" i="15"/>
  <c r="H11" i="15"/>
  <c r="D24" i="15"/>
  <c r="M24" i="15"/>
  <c r="D10" i="15"/>
  <c r="J29" i="4"/>
  <c r="I29" i="4"/>
  <c r="E102" i="4"/>
  <c r="F30" i="4"/>
  <c r="H31" i="4"/>
  <c r="K31" i="4" s="1"/>
  <c r="L10" i="15" l="1"/>
  <c r="L24" i="15"/>
  <c r="L14" i="15"/>
  <c r="L11" i="15"/>
  <c r="L22" i="15"/>
  <c r="J102" i="4"/>
  <c r="I102" i="4"/>
  <c r="H30" i="4"/>
  <c r="K30" i="4" s="1"/>
  <c r="F29" i="4"/>
  <c r="H29" i="4" l="1"/>
  <c r="F102" i="4"/>
  <c r="K29" i="4" l="1"/>
  <c r="H102" i="4"/>
  <c r="K102" i="4" s="1"/>
  <c r="N74" i="5" l="1"/>
  <c r="M74" i="5"/>
  <c r="L74" i="5"/>
  <c r="N72" i="5"/>
  <c r="M72" i="5"/>
  <c r="L72" i="5"/>
  <c r="J71" i="5"/>
  <c r="H71" i="5"/>
  <c r="F71" i="5"/>
  <c r="M71" i="5" s="1"/>
  <c r="D71" i="5"/>
  <c r="L71" i="5" s="1"/>
  <c r="N70" i="5"/>
  <c r="M70" i="5"/>
  <c r="L70" i="5"/>
  <c r="K70" i="5"/>
  <c r="N69" i="5"/>
  <c r="M69" i="5"/>
  <c r="L69" i="5"/>
  <c r="K69" i="5"/>
  <c r="E69" i="5"/>
  <c r="N68" i="5"/>
  <c r="M68" i="5"/>
  <c r="L68" i="5"/>
  <c r="K68" i="5"/>
  <c r="E68" i="5"/>
  <c r="N67" i="5"/>
  <c r="M67" i="5"/>
  <c r="L67" i="5"/>
  <c r="N66" i="5"/>
  <c r="M66" i="5"/>
  <c r="L66" i="5"/>
  <c r="N65" i="5"/>
  <c r="M65" i="5"/>
  <c r="L65" i="5"/>
  <c r="K65" i="5"/>
  <c r="E65" i="5"/>
  <c r="N64" i="5"/>
  <c r="M64" i="5"/>
  <c r="L64" i="5"/>
  <c r="N63" i="5"/>
  <c r="M63" i="5"/>
  <c r="L63" i="5"/>
  <c r="N62" i="5"/>
  <c r="M62" i="5"/>
  <c r="L62" i="5"/>
  <c r="N61" i="5"/>
  <c r="M61" i="5"/>
  <c r="L61" i="5"/>
  <c r="N60" i="5"/>
  <c r="M60" i="5"/>
  <c r="L60" i="5"/>
  <c r="K60" i="5"/>
  <c r="E60" i="5"/>
  <c r="N59" i="5"/>
  <c r="M59" i="5"/>
  <c r="L59" i="5"/>
  <c r="K59" i="5"/>
  <c r="E59" i="5"/>
  <c r="N58" i="5"/>
  <c r="M58" i="5"/>
  <c r="L58" i="5"/>
  <c r="K58" i="5"/>
  <c r="E58" i="5"/>
  <c r="N57" i="5"/>
  <c r="M57" i="5"/>
  <c r="L57" i="5"/>
  <c r="N56" i="5"/>
  <c r="M56" i="5"/>
  <c r="L56" i="5"/>
  <c r="K56" i="5"/>
  <c r="E56" i="5"/>
  <c r="J55" i="5"/>
  <c r="H55" i="5"/>
  <c r="N55" i="5" s="1"/>
  <c r="F55" i="5"/>
  <c r="D55" i="5"/>
  <c r="N54" i="5"/>
  <c r="M54" i="5"/>
  <c r="L54" i="5"/>
  <c r="N53" i="5"/>
  <c r="M53" i="5"/>
  <c r="L53" i="5"/>
  <c r="N52" i="5"/>
  <c r="M52" i="5"/>
  <c r="L52" i="5"/>
  <c r="K52" i="5"/>
  <c r="E52" i="5"/>
  <c r="N51" i="5"/>
  <c r="M51" i="5"/>
  <c r="L51" i="5"/>
  <c r="K51" i="5"/>
  <c r="E51" i="5"/>
  <c r="N50" i="5"/>
  <c r="M50" i="5"/>
  <c r="L50" i="5"/>
  <c r="K50" i="5"/>
  <c r="E50" i="5"/>
  <c r="N49" i="5"/>
  <c r="M49" i="5"/>
  <c r="L49" i="5"/>
  <c r="N48" i="5"/>
  <c r="M48" i="5"/>
  <c r="L48" i="5"/>
  <c r="K48" i="5"/>
  <c r="E48" i="5"/>
  <c r="N47" i="5"/>
  <c r="M47" i="5"/>
  <c r="L47" i="5"/>
  <c r="K47" i="5"/>
  <c r="E47" i="5"/>
  <c r="N46" i="5"/>
  <c r="M46" i="5"/>
  <c r="L46" i="5"/>
  <c r="K46" i="5"/>
  <c r="E46" i="5"/>
  <c r="N45" i="5"/>
  <c r="M45" i="5"/>
  <c r="L45" i="5"/>
  <c r="K45" i="5"/>
  <c r="E45" i="5"/>
  <c r="N44" i="5"/>
  <c r="M44" i="5"/>
  <c r="L44" i="5"/>
  <c r="N43" i="5"/>
  <c r="M43" i="5"/>
  <c r="L43" i="5"/>
  <c r="K43" i="5"/>
  <c r="E43" i="5"/>
  <c r="N42" i="5"/>
  <c r="M42" i="5"/>
  <c r="L42" i="5"/>
  <c r="K42" i="5"/>
  <c r="J41" i="5"/>
  <c r="H41" i="5"/>
  <c r="M41" i="5" s="1"/>
  <c r="F41" i="5"/>
  <c r="F73" i="5" s="1"/>
  <c r="D41" i="5"/>
  <c r="N40" i="5"/>
  <c r="M40" i="5"/>
  <c r="L40" i="5"/>
  <c r="K40" i="5"/>
  <c r="E40" i="5"/>
  <c r="N39" i="5"/>
  <c r="M39" i="5"/>
  <c r="L39" i="5"/>
  <c r="N38" i="5"/>
  <c r="M38" i="5"/>
  <c r="L38" i="5"/>
  <c r="N37" i="5"/>
  <c r="M37" i="5"/>
  <c r="L37" i="5"/>
  <c r="K37" i="5"/>
  <c r="E37" i="5"/>
  <c r="N36" i="5"/>
  <c r="M36" i="5"/>
  <c r="L36" i="5"/>
  <c r="N35" i="5"/>
  <c r="M35" i="5"/>
  <c r="L35" i="5"/>
  <c r="K35" i="5"/>
  <c r="E35" i="5"/>
  <c r="N34" i="5"/>
  <c r="M34" i="5"/>
  <c r="L34" i="5"/>
  <c r="K34" i="5"/>
  <c r="E34" i="5"/>
  <c r="N33" i="5"/>
  <c r="M33" i="5"/>
  <c r="L33" i="5"/>
  <c r="A33" i="5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N32" i="5"/>
  <c r="M32" i="5"/>
  <c r="L32" i="5"/>
  <c r="K32" i="5"/>
  <c r="E32" i="5"/>
  <c r="N31" i="5"/>
  <c r="M31" i="5"/>
  <c r="L31" i="5"/>
  <c r="N28" i="5"/>
  <c r="M28" i="5"/>
  <c r="L28" i="5"/>
  <c r="N26" i="5"/>
  <c r="M26" i="5"/>
  <c r="L26" i="5"/>
  <c r="J25" i="5"/>
  <c r="J27" i="5" s="1"/>
  <c r="H25" i="5"/>
  <c r="H27" i="5" s="1"/>
  <c r="F25" i="5"/>
  <c r="N24" i="5"/>
  <c r="M24" i="5"/>
  <c r="L24" i="5"/>
  <c r="N23" i="5"/>
  <c r="M23" i="5"/>
  <c r="L23" i="5"/>
  <c r="K23" i="5"/>
  <c r="N22" i="5"/>
  <c r="M22" i="5"/>
  <c r="D22" i="5"/>
  <c r="D25" i="5" s="1"/>
  <c r="N21" i="5"/>
  <c r="M21" i="5"/>
  <c r="L21" i="5"/>
  <c r="N20" i="5"/>
  <c r="M20" i="5"/>
  <c r="L20" i="5"/>
  <c r="K20" i="5"/>
  <c r="E20" i="5"/>
  <c r="J19" i="5"/>
  <c r="H19" i="5"/>
  <c r="N19" i="5" s="1"/>
  <c r="F19" i="5"/>
  <c r="M19" i="5" s="1"/>
  <c r="D19" i="5"/>
  <c r="N18" i="5"/>
  <c r="M18" i="5"/>
  <c r="L18" i="5"/>
  <c r="N17" i="5"/>
  <c r="M17" i="5"/>
  <c r="L17" i="5"/>
  <c r="N16" i="5"/>
  <c r="M16" i="5"/>
  <c r="L16" i="5"/>
  <c r="N15" i="5"/>
  <c r="M15" i="5"/>
  <c r="L15" i="5"/>
  <c r="N14" i="5"/>
  <c r="M14" i="5"/>
  <c r="L14" i="5"/>
  <c r="N13" i="5"/>
  <c r="M13" i="5"/>
  <c r="L13" i="5"/>
  <c r="K13" i="5"/>
  <c r="E13" i="5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N12" i="5"/>
  <c r="M12" i="5"/>
  <c r="L12" i="5"/>
  <c r="K12" i="5"/>
  <c r="E12" i="5"/>
  <c r="H46" i="3"/>
  <c r="I44" i="3"/>
  <c r="H44" i="3"/>
  <c r="G44" i="3"/>
  <c r="I41" i="3"/>
  <c r="H41" i="3"/>
  <c r="G41" i="3"/>
  <c r="F40" i="3"/>
  <c r="E40" i="3"/>
  <c r="I39" i="3"/>
  <c r="H39" i="3"/>
  <c r="G39" i="3"/>
  <c r="I38" i="3"/>
  <c r="H38" i="3"/>
  <c r="G38" i="3"/>
  <c r="I37" i="3"/>
  <c r="H37" i="3"/>
  <c r="G37" i="3"/>
  <c r="I36" i="3"/>
  <c r="H36" i="3"/>
  <c r="G36" i="3"/>
  <c r="I35" i="3"/>
  <c r="H35" i="3"/>
  <c r="G35" i="3"/>
  <c r="F34" i="3"/>
  <c r="E34" i="3"/>
  <c r="D34" i="3"/>
  <c r="C34" i="3"/>
  <c r="G34" i="3" s="1"/>
  <c r="I33" i="3"/>
  <c r="H33" i="3"/>
  <c r="G33" i="3"/>
  <c r="I32" i="3"/>
  <c r="H32" i="3"/>
  <c r="G32" i="3"/>
  <c r="I31" i="3"/>
  <c r="H31" i="3"/>
  <c r="G31" i="3"/>
  <c r="F30" i="3"/>
  <c r="E30" i="3"/>
  <c r="D30" i="3"/>
  <c r="H30" i="3" s="1"/>
  <c r="C30" i="3"/>
  <c r="I29" i="3"/>
  <c r="H29" i="3"/>
  <c r="G29" i="3"/>
  <c r="E28" i="3"/>
  <c r="I26" i="3"/>
  <c r="H26" i="3"/>
  <c r="G26" i="3"/>
  <c r="F25" i="3"/>
  <c r="F18" i="3" s="1"/>
  <c r="E25" i="3"/>
  <c r="I24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D18" i="3"/>
  <c r="C18" i="3"/>
  <c r="I17" i="3"/>
  <c r="H17" i="3"/>
  <c r="G17" i="3"/>
  <c r="I16" i="3"/>
  <c r="H16" i="3"/>
  <c r="G16" i="3"/>
  <c r="I15" i="3"/>
  <c r="H15" i="3"/>
  <c r="G15" i="3"/>
  <c r="F14" i="3"/>
  <c r="E14" i="3"/>
  <c r="I14" i="3" s="1"/>
  <c r="D14" i="3"/>
  <c r="C14" i="3"/>
  <c r="I13" i="3"/>
  <c r="H13" i="3"/>
  <c r="G13" i="3"/>
  <c r="F12" i="3"/>
  <c r="E12" i="3"/>
  <c r="G12" i="3" s="1"/>
  <c r="F11" i="3"/>
  <c r="E11" i="3"/>
  <c r="D10" i="3"/>
  <c r="C10" i="3"/>
  <c r="C9" i="3" s="1"/>
  <c r="P22" i="6"/>
  <c r="O22" i="6"/>
  <c r="L22" i="6"/>
  <c r="K22" i="6"/>
  <c r="H22" i="6"/>
  <c r="G22" i="6"/>
  <c r="D22" i="6"/>
  <c r="C22" i="6"/>
  <c r="Q21" i="6"/>
  <c r="M21" i="6"/>
  <c r="U21" i="6" s="1"/>
  <c r="I21" i="6"/>
  <c r="E21" i="6"/>
  <c r="Q20" i="6"/>
  <c r="M20" i="6"/>
  <c r="U20" i="6" s="1"/>
  <c r="I20" i="6"/>
  <c r="E20" i="6"/>
  <c r="Q19" i="6"/>
  <c r="R19" i="6" s="1"/>
  <c r="M19" i="6"/>
  <c r="N19" i="6" s="1"/>
  <c r="I19" i="6"/>
  <c r="T19" i="6" s="1"/>
  <c r="E19" i="6"/>
  <c r="F19" i="6" s="1"/>
  <c r="T18" i="6"/>
  <c r="Q18" i="6"/>
  <c r="M18" i="6"/>
  <c r="I18" i="6"/>
  <c r="E18" i="6"/>
  <c r="S18" i="6" s="1"/>
  <c r="Q17" i="6"/>
  <c r="M17" i="6"/>
  <c r="I17" i="6"/>
  <c r="E17" i="6"/>
  <c r="Q16" i="6"/>
  <c r="M16" i="6"/>
  <c r="U16" i="6" s="1"/>
  <c r="I16" i="6"/>
  <c r="E16" i="6"/>
  <c r="Q15" i="6"/>
  <c r="M15" i="6"/>
  <c r="I15" i="6"/>
  <c r="T15" i="6" s="1"/>
  <c r="E15" i="6"/>
  <c r="Q14" i="6"/>
  <c r="M14" i="6"/>
  <c r="I14" i="6"/>
  <c r="T14" i="6" s="1"/>
  <c r="E14" i="6"/>
  <c r="Q13" i="6"/>
  <c r="M13" i="6"/>
  <c r="U13" i="6" s="1"/>
  <c r="I13" i="6"/>
  <c r="E13" i="6"/>
  <c r="Q12" i="6"/>
  <c r="M12" i="6"/>
  <c r="I12" i="6"/>
  <c r="E12" i="6"/>
  <c r="I21" i="5" l="1"/>
  <c r="I24" i="5"/>
  <c r="I23" i="5"/>
  <c r="L41" i="5"/>
  <c r="M55" i="5"/>
  <c r="C28" i="3"/>
  <c r="I25" i="3"/>
  <c r="I30" i="3"/>
  <c r="H34" i="3"/>
  <c r="G14" i="3"/>
  <c r="H14" i="3"/>
  <c r="D28" i="3"/>
  <c r="H28" i="3" s="1"/>
  <c r="I11" i="3"/>
  <c r="I40" i="3"/>
  <c r="D27" i="5"/>
  <c r="L27" i="5" s="1"/>
  <c r="G73" i="5"/>
  <c r="G72" i="5"/>
  <c r="G70" i="5"/>
  <c r="G61" i="5"/>
  <c r="G38" i="5"/>
  <c r="G42" i="5"/>
  <c r="G40" i="5"/>
  <c r="G63" i="5"/>
  <c r="G48" i="5"/>
  <c r="G46" i="5"/>
  <c r="G44" i="5"/>
  <c r="G34" i="5"/>
  <c r="G53" i="5"/>
  <c r="G65" i="5"/>
  <c r="G52" i="5"/>
  <c r="G50" i="5"/>
  <c r="G56" i="5"/>
  <c r="G35" i="5"/>
  <c r="G33" i="5"/>
  <c r="G37" i="5"/>
  <c r="G69" i="5"/>
  <c r="G67" i="5"/>
  <c r="G60" i="5"/>
  <c r="G58" i="5"/>
  <c r="G54" i="5"/>
  <c r="G66" i="5"/>
  <c r="G41" i="5"/>
  <c r="G55" i="5"/>
  <c r="G62" i="5"/>
  <c r="G43" i="5"/>
  <c r="G39" i="5"/>
  <c r="G64" i="5"/>
  <c r="G51" i="5"/>
  <c r="G49" i="5"/>
  <c r="G68" i="5"/>
  <c r="G59" i="5"/>
  <c r="G57" i="5"/>
  <c r="G36" i="5"/>
  <c r="G47" i="5"/>
  <c r="G45" i="5"/>
  <c r="K55" i="5"/>
  <c r="G11" i="3"/>
  <c r="I25" i="5"/>
  <c r="D73" i="5"/>
  <c r="E33" i="5" s="1"/>
  <c r="N41" i="5"/>
  <c r="G71" i="5"/>
  <c r="H73" i="5"/>
  <c r="I72" i="5" s="1"/>
  <c r="U17" i="6"/>
  <c r="I12" i="3"/>
  <c r="G40" i="3"/>
  <c r="L19" i="5"/>
  <c r="J73" i="5"/>
  <c r="K41" i="5" s="1"/>
  <c r="N71" i="5"/>
  <c r="U19" i="6"/>
  <c r="H11" i="3"/>
  <c r="I22" i="5"/>
  <c r="L22" i="5"/>
  <c r="U12" i="6"/>
  <c r="F28" i="3"/>
  <c r="F27" i="3" s="1"/>
  <c r="I34" i="3"/>
  <c r="M25" i="5"/>
  <c r="L55" i="5"/>
  <c r="K27" i="5"/>
  <c r="K21" i="5"/>
  <c r="K18" i="5"/>
  <c r="K16" i="5"/>
  <c r="K14" i="5"/>
  <c r="K24" i="5"/>
  <c r="K22" i="5"/>
  <c r="K19" i="5"/>
  <c r="K17" i="5"/>
  <c r="K15" i="5"/>
  <c r="N25" i="5"/>
  <c r="I26" i="5"/>
  <c r="E14" i="5"/>
  <c r="E15" i="5"/>
  <c r="E16" i="5"/>
  <c r="E17" i="5"/>
  <c r="E18" i="5"/>
  <c r="E21" i="5"/>
  <c r="K25" i="5"/>
  <c r="E27" i="5"/>
  <c r="I27" i="5"/>
  <c r="E36" i="5"/>
  <c r="E38" i="5"/>
  <c r="E39" i="5"/>
  <c r="E42" i="5"/>
  <c r="E44" i="5"/>
  <c r="E49" i="5"/>
  <c r="E53" i="5"/>
  <c r="E54" i="5"/>
  <c r="E57" i="5"/>
  <c r="E61" i="5"/>
  <c r="E62" i="5"/>
  <c r="E63" i="5"/>
  <c r="E64" i="5"/>
  <c r="E66" i="5"/>
  <c r="E67" i="5"/>
  <c r="E70" i="5"/>
  <c r="E72" i="5"/>
  <c r="E73" i="5"/>
  <c r="M73" i="5"/>
  <c r="E19" i="5"/>
  <c r="I19" i="5"/>
  <c r="E22" i="5"/>
  <c r="E23" i="5"/>
  <c r="E24" i="5"/>
  <c r="E26" i="5"/>
  <c r="N27" i="5"/>
  <c r="E41" i="5"/>
  <c r="E55" i="5"/>
  <c r="E71" i="5"/>
  <c r="I71" i="5"/>
  <c r="N73" i="5"/>
  <c r="L25" i="5"/>
  <c r="F27" i="5"/>
  <c r="I14" i="5"/>
  <c r="I15" i="5"/>
  <c r="I16" i="5"/>
  <c r="I17" i="5"/>
  <c r="I18" i="5"/>
  <c r="I20" i="5"/>
  <c r="I37" i="5"/>
  <c r="I38" i="5"/>
  <c r="I39" i="5"/>
  <c r="I40" i="5"/>
  <c r="I43" i="5"/>
  <c r="I51" i="5"/>
  <c r="I52" i="5"/>
  <c r="I53" i="5"/>
  <c r="I56" i="5"/>
  <c r="I57" i="5"/>
  <c r="I65" i="5"/>
  <c r="I66" i="5"/>
  <c r="I68" i="5"/>
  <c r="I69" i="5"/>
  <c r="I70" i="5"/>
  <c r="F10" i="3"/>
  <c r="F9" i="3" s="1"/>
  <c r="F46" i="3" s="1"/>
  <c r="C27" i="3"/>
  <c r="C45" i="3" s="1"/>
  <c r="G28" i="3"/>
  <c r="I28" i="3"/>
  <c r="D9" i="3"/>
  <c r="G30" i="3"/>
  <c r="H12" i="3"/>
  <c r="G25" i="3"/>
  <c r="E27" i="3"/>
  <c r="H40" i="3"/>
  <c r="E18" i="3"/>
  <c r="G18" i="3" s="1"/>
  <c r="H25" i="3"/>
  <c r="S14" i="6"/>
  <c r="R13" i="6"/>
  <c r="R18" i="6"/>
  <c r="S13" i="6"/>
  <c r="U15" i="6"/>
  <c r="S17" i="6"/>
  <c r="S21" i="6"/>
  <c r="S12" i="6"/>
  <c r="T13" i="6"/>
  <c r="U14" i="6"/>
  <c r="S16" i="6"/>
  <c r="T17" i="6"/>
  <c r="U18" i="6"/>
  <c r="J19" i="6"/>
  <c r="S20" i="6"/>
  <c r="T21" i="6"/>
  <c r="E22" i="6"/>
  <c r="F12" i="6" s="1"/>
  <c r="I22" i="6"/>
  <c r="M22" i="6"/>
  <c r="N13" i="6" s="1"/>
  <c r="Q22" i="6"/>
  <c r="R14" i="6" s="1"/>
  <c r="N12" i="6"/>
  <c r="T12" i="6"/>
  <c r="S15" i="6"/>
  <c r="N16" i="6"/>
  <c r="T16" i="6"/>
  <c r="S19" i="6"/>
  <c r="N20" i="6"/>
  <c r="T20" i="6"/>
  <c r="I36" i="5" l="1"/>
  <c r="I55" i="5"/>
  <c r="I73" i="5"/>
  <c r="I61" i="5"/>
  <c r="I49" i="5"/>
  <c r="I60" i="5"/>
  <c r="I64" i="5"/>
  <c r="I63" i="5"/>
  <c r="I62" i="5"/>
  <c r="I41" i="5"/>
  <c r="I46" i="5"/>
  <c r="I59" i="5"/>
  <c r="I45" i="5"/>
  <c r="I50" i="5"/>
  <c r="I48" i="5"/>
  <c r="I47" i="5"/>
  <c r="I58" i="5"/>
  <c r="I44" i="5"/>
  <c r="F43" i="3"/>
  <c r="D27" i="3"/>
  <c r="D42" i="3" s="1"/>
  <c r="L73" i="5"/>
  <c r="K73" i="5"/>
  <c r="K44" i="5"/>
  <c r="K63" i="5"/>
  <c r="K71" i="5"/>
  <c r="K33" i="5"/>
  <c r="K67" i="5"/>
  <c r="K54" i="5"/>
  <c r="K62" i="5"/>
  <c r="K39" i="5"/>
  <c r="K36" i="5"/>
  <c r="K66" i="5"/>
  <c r="K53" i="5"/>
  <c r="K57" i="5"/>
  <c r="K72" i="5"/>
  <c r="K61" i="5"/>
  <c r="K38" i="5"/>
  <c r="K64" i="5"/>
  <c r="K49" i="5"/>
  <c r="I67" i="5"/>
  <c r="I54" i="5"/>
  <c r="I42" i="5"/>
  <c r="I33" i="5"/>
  <c r="E25" i="5"/>
  <c r="G27" i="5"/>
  <c r="G26" i="5"/>
  <c r="G24" i="5"/>
  <c r="G23" i="5"/>
  <c r="G22" i="5"/>
  <c r="G21" i="5"/>
  <c r="G15" i="5"/>
  <c r="G19" i="5"/>
  <c r="G20" i="5"/>
  <c r="G18" i="5"/>
  <c r="G17" i="5"/>
  <c r="G16" i="5"/>
  <c r="G14" i="5"/>
  <c r="M27" i="5"/>
  <c r="G25" i="5"/>
  <c r="D43" i="3"/>
  <c r="H43" i="3" s="1"/>
  <c r="H27" i="3"/>
  <c r="D45" i="3"/>
  <c r="G27" i="3"/>
  <c r="C46" i="3"/>
  <c r="G46" i="3" s="1"/>
  <c r="C43" i="3"/>
  <c r="G43" i="3" s="1"/>
  <c r="I18" i="3"/>
  <c r="E10" i="3"/>
  <c r="F45" i="3"/>
  <c r="F42" i="3"/>
  <c r="I27" i="3"/>
  <c r="C42" i="3"/>
  <c r="H18" i="3"/>
  <c r="R17" i="6"/>
  <c r="N17" i="6"/>
  <c r="J20" i="6"/>
  <c r="J16" i="6"/>
  <c r="J12" i="6"/>
  <c r="J22" i="6"/>
  <c r="T22" i="6"/>
  <c r="J17" i="6"/>
  <c r="J14" i="6"/>
  <c r="F14" i="6"/>
  <c r="S22" i="6"/>
  <c r="F22" i="6"/>
  <c r="F18" i="6"/>
  <c r="F21" i="6"/>
  <c r="F17" i="6"/>
  <c r="J13" i="6"/>
  <c r="R22" i="6"/>
  <c r="R20" i="6"/>
  <c r="R16" i="6"/>
  <c r="R12" i="6"/>
  <c r="J15" i="6"/>
  <c r="R15" i="6"/>
  <c r="F20" i="6"/>
  <c r="R21" i="6"/>
  <c r="F16" i="6"/>
  <c r="N22" i="6"/>
  <c r="U22" i="6"/>
  <c r="N18" i="6"/>
  <c r="N14" i="6"/>
  <c r="N21" i="6"/>
  <c r="J21" i="6"/>
  <c r="F13" i="6"/>
  <c r="N15" i="6"/>
  <c r="J18" i="6"/>
  <c r="F15" i="6"/>
  <c r="E9" i="3" l="1"/>
  <c r="I10" i="3"/>
  <c r="H10" i="3"/>
  <c r="G10" i="3"/>
  <c r="E45" i="3" l="1"/>
  <c r="I9" i="3"/>
  <c r="E42" i="3"/>
  <c r="G9" i="3"/>
  <c r="E46" i="3"/>
  <c r="I46" i="3" s="1"/>
  <c r="H9" i="3"/>
  <c r="E43" i="3"/>
  <c r="I43" i="3" s="1"/>
  <c r="I42" i="3" l="1"/>
  <c r="H42" i="3"/>
  <c r="G42" i="3"/>
  <c r="I45" i="3"/>
  <c r="G45" i="3"/>
  <c r="H45" i="3"/>
  <c r="F68" i="1" l="1"/>
  <c r="E68" i="1"/>
  <c r="D68" i="1"/>
  <c r="C68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37" i="1"/>
  <c r="E37" i="1"/>
  <c r="D37" i="1"/>
  <c r="C37" i="1"/>
  <c r="F35" i="1"/>
  <c r="E35" i="1"/>
  <c r="D35" i="1"/>
  <c r="C35" i="1"/>
  <c r="F34" i="1"/>
  <c r="E34" i="1"/>
  <c r="D34" i="1"/>
  <c r="C34" i="1"/>
  <c r="B34" i="1"/>
  <c r="F33" i="1"/>
  <c r="E33" i="1"/>
  <c r="D33" i="1"/>
  <c r="C33" i="1"/>
  <c r="F32" i="1"/>
  <c r="E32" i="1"/>
  <c r="D32" i="1"/>
  <c r="C32" i="1"/>
  <c r="F31" i="1"/>
  <c r="E31" i="1"/>
  <c r="D31" i="1"/>
  <c r="C31" i="1"/>
  <c r="D30" i="1"/>
  <c r="C30" i="1"/>
  <c r="D22" i="1"/>
  <c r="C22" i="1"/>
  <c r="F20" i="1"/>
  <c r="E20" i="1"/>
  <c r="D20" i="1"/>
  <c r="C20" i="1"/>
  <c r="D19" i="1"/>
  <c r="C19" i="1"/>
  <c r="F10" i="1"/>
  <c r="E10" i="1"/>
  <c r="D10" i="1"/>
  <c r="C10" i="1"/>
  <c r="F9" i="1"/>
  <c r="E9" i="1"/>
  <c r="D9" i="1"/>
  <c r="C9" i="1"/>
  <c r="C8" i="1"/>
  <c r="D7" i="1"/>
  <c r="C7" i="1"/>
  <c r="C21" i="1" l="1"/>
  <c r="C23" i="1" s="1"/>
  <c r="C36" i="1"/>
  <c r="C38" i="1" s="1"/>
  <c r="H68" i="1"/>
  <c r="C12" i="1"/>
  <c r="I32" i="1"/>
  <c r="H37" i="1"/>
  <c r="I62" i="1"/>
  <c r="G31" i="1"/>
  <c r="G9" i="1"/>
  <c r="H59" i="1"/>
  <c r="D12" i="1"/>
  <c r="C11" i="1"/>
  <c r="I9" i="1"/>
  <c r="G20" i="1"/>
  <c r="H35" i="1"/>
  <c r="I37" i="1"/>
  <c r="G63" i="1"/>
  <c r="G64" i="1"/>
  <c r="G33" i="1"/>
  <c r="G37" i="1"/>
  <c r="H56" i="1"/>
  <c r="G57" i="1"/>
  <c r="G61" i="1"/>
  <c r="H63" i="1"/>
  <c r="H65" i="1"/>
  <c r="I63" i="1"/>
  <c r="I65" i="1"/>
  <c r="I66" i="1"/>
  <c r="H10" i="1"/>
  <c r="I55" i="1"/>
  <c r="I57" i="1"/>
  <c r="H60" i="1"/>
  <c r="I10" i="1"/>
  <c r="H20" i="1"/>
  <c r="H33" i="1"/>
  <c r="C67" i="1"/>
  <c r="C69" i="1" s="1"/>
  <c r="G56" i="1"/>
  <c r="H57" i="1"/>
  <c r="I59" i="1"/>
  <c r="I61" i="1"/>
  <c r="G68" i="1"/>
  <c r="D11" i="1"/>
  <c r="G10" i="1"/>
  <c r="G59" i="1"/>
  <c r="G60" i="1"/>
  <c r="H61" i="1"/>
  <c r="H64" i="1"/>
  <c r="G65" i="1"/>
  <c r="G32" i="1"/>
  <c r="H58" i="1"/>
  <c r="G58" i="1"/>
  <c r="I33" i="1"/>
  <c r="D67" i="1"/>
  <c r="D69" i="1" s="1"/>
  <c r="F67" i="1"/>
  <c r="D36" i="1"/>
  <c r="D38" i="1" s="1"/>
  <c r="I31" i="1"/>
  <c r="H32" i="1"/>
  <c r="E67" i="1"/>
  <c r="I58" i="1"/>
  <c r="H66" i="1"/>
  <c r="G66" i="1"/>
  <c r="H9" i="1"/>
  <c r="D21" i="1"/>
  <c r="D23" i="1" s="1"/>
  <c r="I20" i="1"/>
  <c r="H31" i="1"/>
  <c r="I35" i="1"/>
  <c r="H62" i="1"/>
  <c r="G62" i="1"/>
  <c r="H55" i="1"/>
  <c r="I56" i="1"/>
  <c r="I60" i="1"/>
  <c r="I64" i="1"/>
  <c r="I68" i="1"/>
  <c r="G35" i="1"/>
  <c r="G55" i="1"/>
  <c r="I67" i="1" l="1"/>
  <c r="F69" i="1"/>
  <c r="E69" i="1"/>
  <c r="G67" i="1"/>
  <c r="H67" i="1"/>
  <c r="G69" i="1" l="1"/>
  <c r="H69" i="1"/>
  <c r="I69" i="1"/>
  <c r="E30" i="1" l="1"/>
  <c r="H30" i="1" l="1"/>
  <c r="E36" i="1"/>
  <c r="G30" i="1"/>
  <c r="E7" i="1"/>
  <c r="E19" i="1" l="1"/>
  <c r="H36" i="1"/>
  <c r="E38" i="1"/>
  <c r="G36" i="1"/>
  <c r="E11" i="1"/>
  <c r="G7" i="1"/>
  <c r="H7" i="1"/>
  <c r="E12" i="1"/>
  <c r="H38" i="1" l="1"/>
  <c r="G38" i="1"/>
  <c r="G11" i="1"/>
  <c r="H11" i="1"/>
  <c r="H19" i="1"/>
  <c r="G19" i="1"/>
  <c r="E21" i="1"/>
  <c r="G12" i="1"/>
  <c r="H12" i="1"/>
  <c r="G21" i="1" l="1"/>
  <c r="H21" i="1"/>
  <c r="E22" i="1" l="1"/>
  <c r="G22" i="1" l="1"/>
  <c r="E23" i="1"/>
  <c r="G23" i="1" l="1"/>
  <c r="H23" i="1"/>
  <c r="F30" i="1" l="1"/>
  <c r="F7" i="1" l="1"/>
  <c r="I30" i="1"/>
  <c r="F36" i="1"/>
  <c r="F38" i="1" l="1"/>
  <c r="I38" i="1" s="1"/>
  <c r="I36" i="1"/>
  <c r="I7" i="1"/>
  <c r="F11" i="1"/>
  <c r="I11" i="1" s="1"/>
  <c r="F12" i="1"/>
  <c r="I12" i="1" s="1"/>
  <c r="F19" i="1"/>
  <c r="I19" i="1" l="1"/>
  <c r="F21" i="1"/>
  <c r="I21" i="1" l="1"/>
  <c r="F22" i="1"/>
  <c r="I22" i="1" s="1"/>
  <c r="F23" i="1" l="1"/>
  <c r="I23" i="1" s="1"/>
</calcChain>
</file>

<file path=xl/sharedStrings.xml><?xml version="1.0" encoding="utf-8"?>
<sst xmlns="http://schemas.openxmlformats.org/spreadsheetml/2006/main" count="1050" uniqueCount="663">
  <si>
    <t>R.br.</t>
  </si>
  <si>
    <t>Opis</t>
  </si>
  <si>
    <t>Ostvareno           I.-XII.2023.</t>
  </si>
  <si>
    <t>I.-XII.2024.</t>
  </si>
  <si>
    <t>Plan                       I. - XII.2025.</t>
  </si>
  <si>
    <t>Indexi</t>
  </si>
  <si>
    <t>I.-XII.2023.</t>
  </si>
  <si>
    <t>Plan/Rebalans</t>
  </si>
  <si>
    <t xml:space="preserve">Procjena ostvarenja </t>
  </si>
  <si>
    <t>5/3</t>
  </si>
  <si>
    <t>5/4</t>
  </si>
  <si>
    <t>6/5</t>
  </si>
  <si>
    <t>1.</t>
  </si>
  <si>
    <t xml:space="preserve">POSLOVNI PRIHODI </t>
  </si>
  <si>
    <t>1.1.</t>
  </si>
  <si>
    <t>- prihodi od revalorizacije</t>
  </si>
  <si>
    <t>n/p</t>
  </si>
  <si>
    <t>2.</t>
  </si>
  <si>
    <t xml:space="preserve">POSLOVNI RASHODI </t>
  </si>
  <si>
    <t>2.1.</t>
  </si>
  <si>
    <t>- amortizacija</t>
  </si>
  <si>
    <t>3.</t>
  </si>
  <si>
    <t>EBITDA</t>
  </si>
  <si>
    <t>4.</t>
  </si>
  <si>
    <t>EBIT</t>
  </si>
  <si>
    <t xml:space="preserve">UKUPNI PRIHODI </t>
  </si>
  <si>
    <t xml:space="preserve">UKUPNI RASHODI </t>
  </si>
  <si>
    <t>DOBIT PRIJE OPOREZIVANJA</t>
  </si>
  <si>
    <t>POREZ NA DOBIT</t>
  </si>
  <si>
    <t>5.</t>
  </si>
  <si>
    <t>DOBIT RAZDOBLJA</t>
  </si>
  <si>
    <t xml:space="preserve">Poslovni prihodi </t>
  </si>
  <si>
    <t>Prihodi iz interne realizacije</t>
  </si>
  <si>
    <t>Prihodi od ukidanja rezerviranja</t>
  </si>
  <si>
    <t xml:space="preserve">Naplaćena otpisana potraživanja </t>
  </si>
  <si>
    <t>Ostali  prihodi</t>
  </si>
  <si>
    <t>UKUPNO POSLOVNI  PRIHODI</t>
  </si>
  <si>
    <t>Financijski prihodi</t>
  </si>
  <si>
    <t xml:space="preserve">PRIHODI UKUPNO </t>
  </si>
  <si>
    <t>614 Privremeni najam prostora - razne aktivnosti</t>
  </si>
  <si>
    <t>750 Privremeni najam prostora - razne aktivnosti</t>
  </si>
  <si>
    <t>751 Privremeni najam prostora - razne aktivnosti</t>
  </si>
  <si>
    <t>753 Privremeni najam prostora - skladišta i ostali prostori</t>
  </si>
  <si>
    <t>754 Privremeno korištenje- uredski prostor</t>
  </si>
  <si>
    <t>755 Projekti uređ izvan ZV-a i ostale usluge</t>
  </si>
  <si>
    <t>7.</t>
  </si>
  <si>
    <t>759 Zakup oglasnih površina</t>
  </si>
  <si>
    <t>8.</t>
  </si>
  <si>
    <t>Troškovi sirovina i materijala</t>
  </si>
  <si>
    <t>Ostali vanjski troškovi ( troškovi usluga )</t>
  </si>
  <si>
    <t xml:space="preserve">Troškovi osoblja </t>
  </si>
  <si>
    <t xml:space="preserve">Amortizacija </t>
  </si>
  <si>
    <t>Naknade troškova radnicima i ostala mat. prava</t>
  </si>
  <si>
    <t>5.1.</t>
  </si>
  <si>
    <t>- otpremnine redovne</t>
  </si>
  <si>
    <t>5.2.</t>
  </si>
  <si>
    <t>- otpremnine zbog poslovno/osobno uvjet.otkaza</t>
  </si>
  <si>
    <t>5.3.</t>
  </si>
  <si>
    <t>- ostale naknade</t>
  </si>
  <si>
    <t xml:space="preserve">Ostali troškovi poslovanja </t>
  </si>
  <si>
    <t>Vrijednosno usklađenje kratkotrajne imovine</t>
  </si>
  <si>
    <t>Rezerviranja troškova i rizika</t>
  </si>
  <si>
    <t>9.</t>
  </si>
  <si>
    <t>Ostali poslovni rashodi</t>
  </si>
  <si>
    <t>10.</t>
  </si>
  <si>
    <t>POSLOVNI RASHODI (1-9)</t>
  </si>
  <si>
    <t>11.</t>
  </si>
  <si>
    <t>Financijski rashodi</t>
  </si>
  <si>
    <t>12.</t>
  </si>
  <si>
    <t>UKUPNI RASHODI (10+11)</t>
  </si>
  <si>
    <t>I. - XII. 2024.</t>
  </si>
  <si>
    <t>Indeksi</t>
  </si>
  <si>
    <t>m2</t>
  </si>
  <si>
    <t>€</t>
  </si>
  <si>
    <t>7/3</t>
  </si>
  <si>
    <t>7/5</t>
  </si>
  <si>
    <t>9/7</t>
  </si>
  <si>
    <t>Aktivnost</t>
  </si>
  <si>
    <t>6/4</t>
  </si>
  <si>
    <t>8/6</t>
  </si>
  <si>
    <t>TABLICE PLANA</t>
  </si>
  <si>
    <t>Trgovačko društvo: Zagrebački velesajam d.o.o.</t>
  </si>
  <si>
    <t>Plan broja zaposlenih na dan 31.12.2025.</t>
  </si>
  <si>
    <t>Obilježja i stupnjevi strukovnih sprema 
(prema Nacionalnoj 
klasifikaciji zanimanja)</t>
  </si>
  <si>
    <t>Stanje broja zaposlenih na dan</t>
  </si>
  <si>
    <t>Ostvareno
31. prosinca 2023.
(prema školskoj spremi iz radne knjižice)</t>
  </si>
  <si>
    <t>31. prosinca 2024.</t>
  </si>
  <si>
    <t>Plan
31. prosinca 2025.</t>
  </si>
  <si>
    <t>Usvojeni Plan / Rebalans plana</t>
  </si>
  <si>
    <r>
      <t>Procjena ostvarenja</t>
    </r>
    <r>
      <rPr>
        <b/>
        <sz val="14"/>
        <rFont val="Arial"/>
        <family val="2"/>
      </rPr>
      <t xml:space="preserve">
</t>
    </r>
    <r>
      <rPr>
        <b/>
        <sz val="10"/>
        <rFont val="Arial"/>
        <family val="2"/>
        <charset val="238"/>
      </rPr>
      <t>(prema školskoj spremi iz radne knjižice)</t>
    </r>
  </si>
  <si>
    <t>na
neodređeno
vrijeme</t>
  </si>
  <si>
    <t>na
određeno
vrijeme</t>
  </si>
  <si>
    <t>Ukupan broj zaposlenih 
(3+4)</t>
  </si>
  <si>
    <t>Ukupan broj zaposlenih 
(7+8)</t>
  </si>
  <si>
    <t>Ukupan broj zaposlenih 
(11+12)</t>
  </si>
  <si>
    <t>Ukupan broj zaposlenih 
(15+16)</t>
  </si>
  <si>
    <t>broj</t>
  </si>
  <si>
    <t>udjel %</t>
  </si>
  <si>
    <t>13/5</t>
  </si>
  <si>
    <t>13/9</t>
  </si>
  <si>
    <t>17/13</t>
  </si>
  <si>
    <t>Doktor</t>
  </si>
  <si>
    <t>(VIII stupanj)</t>
  </si>
  <si>
    <t>Magistar</t>
  </si>
  <si>
    <t>(VII/2 stupanj)</t>
  </si>
  <si>
    <t>Visoka</t>
  </si>
  <si>
    <t>(VII/1 stupanj)</t>
  </si>
  <si>
    <t>Viša</t>
  </si>
  <si>
    <t>(VI/1, VI/2 stupanj)</t>
  </si>
  <si>
    <t>VK</t>
  </si>
  <si>
    <t>(V.  stupanj 
srednja str. sprema)</t>
  </si>
  <si>
    <t>SSS</t>
  </si>
  <si>
    <t>(IV.  stupanj 
srednja str. sprema)</t>
  </si>
  <si>
    <t>KV</t>
  </si>
  <si>
    <t>(III.  stupanj 
srednja str. sprema)</t>
  </si>
  <si>
    <t>PKV</t>
  </si>
  <si>
    <t>(II. stupanj
niža str. sprema)</t>
  </si>
  <si>
    <t>NSS</t>
  </si>
  <si>
    <t>NK</t>
  </si>
  <si>
    <t>(I. stupanj
niža str. sprema)</t>
  </si>
  <si>
    <t>UKUPNO:</t>
  </si>
  <si>
    <t>Plan računa dobiti i gubitka za 2025.</t>
  </si>
  <si>
    <t xml:space="preserve"> - iznosi u eurima, bez centi</t>
  </si>
  <si>
    <t>R.
br.</t>
  </si>
  <si>
    <t>Elementi</t>
  </si>
  <si>
    <t>Ostvareno</t>
  </si>
  <si>
    <t xml:space="preserve">Procjena 
ostvarenja </t>
  </si>
  <si>
    <t>Plan</t>
  </si>
  <si>
    <t>I. - XII. 2023.</t>
  </si>
  <si>
    <t>I. - XII. 2025.</t>
  </si>
  <si>
    <t>I.</t>
  </si>
  <si>
    <t>Ukupni prihodi  (1. + 2.)</t>
  </si>
  <si>
    <t>1. Poslovni prihodi - ukupno, od toga:</t>
  </si>
  <si>
    <t xml:space="preserve">    1) Prihodi od prodaje proizvoda i usluga 
         na domaćem tržištu (gospodarstvo i 
         građani ukupno)</t>
  </si>
  <si>
    <t xml:space="preserve">    2) Prihodi od prodaje proizvoda i usluga 
        povezanim društvima</t>
  </si>
  <si>
    <t xml:space="preserve">    3) Prihodi ostvareni između podružnica</t>
  </si>
  <si>
    <t xml:space="preserve">    4) Prihodi iz Proračuna Grada Zagreba, u tome:</t>
  </si>
  <si>
    <t xml:space="preserve">         a) od prodaje (za ugovorene redovne i 
             ostale programe radova)</t>
  </si>
  <si>
    <t xml:space="preserve">         b) zakupnine</t>
  </si>
  <si>
    <t xml:space="preserve">         c) subvencije i potpore</t>
  </si>
  <si>
    <t xml:space="preserve">    5) Drugi nespomenuti poslovni prihodi:</t>
  </si>
  <si>
    <t xml:space="preserve">         a) prihodi od zakupnina na tržištu</t>
  </si>
  <si>
    <t xml:space="preserve">         b) prihodi od prodaje robe na
             domaćem tržištu</t>
  </si>
  <si>
    <t xml:space="preserve">         c) odgođeni prihodi temeljem MRS-a 20
             (besplatno ustupljena dugotrajna imovina)</t>
  </si>
  <si>
    <t xml:space="preserve">         d) naplaćena otpisana potraživanja</t>
  </si>
  <si>
    <t xml:space="preserve">         e) prihodi od ukidanja rezerviranja</t>
  </si>
  <si>
    <t xml:space="preserve">         f) prihodi od revalorizacije</t>
  </si>
  <si>
    <t xml:space="preserve">         g) svi drugi nespomenuti poslovni prihodi</t>
  </si>
  <si>
    <t>2. Financijski prihodi</t>
  </si>
  <si>
    <t>II.</t>
  </si>
  <si>
    <t>Ukupni rashodi  (3. + 4.)</t>
  </si>
  <si>
    <t>3. Poslovni rashodi - ukupno, od toga:</t>
  </si>
  <si>
    <t xml:space="preserve"> 1) Promjene vrijednosti zaliha proizvodnje 
     u tijeku i gotovih proizvoda</t>
  </si>
  <si>
    <t xml:space="preserve"> 2) Materijalni troškovi, u tome:</t>
  </si>
  <si>
    <t xml:space="preserve">         a) troškovi sirovina i materijala</t>
  </si>
  <si>
    <t xml:space="preserve">         b) troškovi prodane robe</t>
  </si>
  <si>
    <t xml:space="preserve">         c) ostali vanjski troškovi</t>
  </si>
  <si>
    <t xml:space="preserve"> 3) Troškovi za zaposlene, u tome:</t>
  </si>
  <si>
    <t xml:space="preserve">         a) troškovi osoblja</t>
  </si>
  <si>
    <t xml:space="preserve">         b) naknade troškova radnicima i izdaci 
              za ostala materijalna prava radnika</t>
  </si>
  <si>
    <t xml:space="preserve"> 4) Amortizacija</t>
  </si>
  <si>
    <t xml:space="preserve"> 5) Vrijednosno usklađivanje
     dugotrajne i kratkotrajne imovine</t>
  </si>
  <si>
    <t xml:space="preserve"> 6) Rezerviranja</t>
  </si>
  <si>
    <t xml:space="preserve"> 7) Svi drugi nespomenuti poslovni rashodi</t>
  </si>
  <si>
    <t>4. Financijski rashodi</t>
  </si>
  <si>
    <t>III.</t>
  </si>
  <si>
    <t>Dobit prije oporezivanja</t>
  </si>
  <si>
    <t>IV.</t>
  </si>
  <si>
    <t>Gubitak prije oporezivanja</t>
  </si>
  <si>
    <t>V.</t>
  </si>
  <si>
    <t>Porez na dobit</t>
  </si>
  <si>
    <t>VI.</t>
  </si>
  <si>
    <t>Dobit razdoblja</t>
  </si>
  <si>
    <t>VII.</t>
  </si>
  <si>
    <t>Gubitak razdoblja</t>
  </si>
  <si>
    <t>PLAN BILANCE NA DAN 31.12.2025.</t>
  </si>
  <si>
    <t>-udjeli u %</t>
  </si>
  <si>
    <t>Redni
broj</t>
  </si>
  <si>
    <t>Naziv pozicije</t>
  </si>
  <si>
    <t>Stanje na dan</t>
  </si>
  <si>
    <t>Ostvareno
31.12.2023.</t>
  </si>
  <si>
    <t>Usvojeni Plan / Rebalans plana
31.12.2024.</t>
  </si>
  <si>
    <t>Procjena ostvarenja 
31.12.2024.</t>
  </si>
  <si>
    <t>Plan
31.12.2025.</t>
  </si>
  <si>
    <t>Iznos</t>
  </si>
  <si>
    <t>Udjel</t>
  </si>
  <si>
    <t xml:space="preserve">Udjel </t>
  </si>
  <si>
    <t>AKTIVA</t>
  </si>
  <si>
    <t>A)</t>
  </si>
  <si>
    <t>Potraživanja za upisani, a neuplaćeni kapital</t>
  </si>
  <si>
    <t>B)</t>
  </si>
  <si>
    <t xml:space="preserve">Dugotrajna imovina: </t>
  </si>
  <si>
    <t>Nematerijalna imovina</t>
  </si>
  <si>
    <t>Materijalna imovina</t>
  </si>
  <si>
    <t>Dugotrajna financijska imovina</t>
  </si>
  <si>
    <t>Potraživanja</t>
  </si>
  <si>
    <t>Odgođena porezna imovina</t>
  </si>
  <si>
    <t>Ukupno dugotrajna imovina  (B)</t>
  </si>
  <si>
    <t>C)</t>
  </si>
  <si>
    <t>Kratkotrajna imovina:</t>
  </si>
  <si>
    <t>Zalihe</t>
  </si>
  <si>
    <t>Kratkotrajna financijska imovina</t>
  </si>
  <si>
    <t>Novac u banci i blagajni</t>
  </si>
  <si>
    <t>Ukupno kratkotrajna imovina  (C)</t>
  </si>
  <si>
    <t>D)</t>
  </si>
  <si>
    <t>Plaćeni troškovi budućeg razdoblja i obračunati prihodi</t>
  </si>
  <si>
    <t>E)</t>
  </si>
  <si>
    <t>UKUPNO AKTIVA (A + B + C + D)</t>
  </si>
  <si>
    <t>F)</t>
  </si>
  <si>
    <t>Izvanbilančni zapisi</t>
  </si>
  <si>
    <t xml:space="preserve"> - nastavak tablice 8</t>
  </si>
  <si>
    <t>PASIVA</t>
  </si>
  <si>
    <t>Kapital i rezerve</t>
  </si>
  <si>
    <t>Temeljni (upisani) kapital</t>
  </si>
  <si>
    <t>Kapitalne rezerve</t>
  </si>
  <si>
    <t>Rezerve iz dobiti</t>
  </si>
  <si>
    <t>Revalorizacijske rezerve</t>
  </si>
  <si>
    <t>Rezerve fer vrijednosti</t>
  </si>
  <si>
    <t>Zadržana dobit ili preneseni gubitak</t>
  </si>
  <si>
    <t>Dobit ili gubitak poslovne godine</t>
  </si>
  <si>
    <t>Manjinski (nekontrolirajući) interes</t>
  </si>
  <si>
    <t>Ukupno kapital i rezerve (A)</t>
  </si>
  <si>
    <t xml:space="preserve">Rezerviranja </t>
  </si>
  <si>
    <t>Dugoročne obveze</t>
  </si>
  <si>
    <t>Obveze prema poduzetnicima unutar grupe</t>
  </si>
  <si>
    <t>Obveze za zajmove, depozite i slično poduzetnika unutar grupe</t>
  </si>
  <si>
    <t xml:space="preserve">Obveze prema društvima povezanim sudjelujućim interesom </t>
  </si>
  <si>
    <t>Obveze za zajmove, depozite i slično društava povezanih sudjelujućim interesom</t>
  </si>
  <si>
    <t>Obveze za zajmove, depozite i slično</t>
  </si>
  <si>
    <t>Obveze prema bankama i drugim financijskim institucijama</t>
  </si>
  <si>
    <t>Obveze za predujmove</t>
  </si>
  <si>
    <t>Obveze prema dobavljačima</t>
  </si>
  <si>
    <t>Obveze po vrijednosnim papirima</t>
  </si>
  <si>
    <t>Ostale dugoročne obveze</t>
  </si>
  <si>
    <t>Odgođena porezna obveza</t>
  </si>
  <si>
    <t>Ukupno dugoročne obveze  (C)</t>
  </si>
  <si>
    <t>Kratkoročne obveze</t>
  </si>
  <si>
    <t>Obveze prema zaposlenicima</t>
  </si>
  <si>
    <t>Obveze za poreze, doprinose i slična davanja</t>
  </si>
  <si>
    <t>Obveze s osnove udjela u rezultatu</t>
  </si>
  <si>
    <t>Obveze po osnovi dugotrajne imovine namijenjene prodaji</t>
  </si>
  <si>
    <t>Ostale kratkoročne obveze</t>
  </si>
  <si>
    <t>Ukupno kratkoročne obveze  (D)</t>
  </si>
  <si>
    <t>Odgođeno plaćanje troškova i prihodi budućeg razdoblja</t>
  </si>
  <si>
    <t>UKUPNO PASIVA (I. + II. + III. + IV. + V.)</t>
  </si>
  <si>
    <t>G)</t>
  </si>
  <si>
    <t>Plan investicijskih ulaganja u dugotrajnu imovinu prema namjeni za 2025.</t>
  </si>
  <si>
    <t>Red broj</t>
  </si>
  <si>
    <t>Namjena
investicija</t>
  </si>
  <si>
    <t>Ostvareno       I. - XII.2023.</t>
  </si>
  <si>
    <t>Plan  I. - XII. 2025.</t>
  </si>
  <si>
    <t>Procjena ostvarenja</t>
  </si>
  <si>
    <t>Prijenos nerealiziranih investicija iz prethodnih godina</t>
  </si>
  <si>
    <t>Nove
investicije</t>
  </si>
  <si>
    <t>Ukupno (6 + 7)</t>
  </si>
  <si>
    <t>8/5</t>
  </si>
  <si>
    <t>GRAĐEVINSKI OBJEKTI, od toga najviše:</t>
  </si>
  <si>
    <t xml:space="preserve">ugradnja tehnološki naprednije umjesto postojeće rasvjete po objektima ZV-a radi poboljšanja energetske učinkovitosti </t>
  </si>
  <si>
    <t>1.2.</t>
  </si>
  <si>
    <t>prijelaz s direktnog na indirektni način grijanja P8-11</t>
  </si>
  <si>
    <t>1.3.</t>
  </si>
  <si>
    <t>sanacija krova paviljoba 29</t>
  </si>
  <si>
    <t>1.4.</t>
  </si>
  <si>
    <t>uređenje podova sajamskih paviljona</t>
  </si>
  <si>
    <t>1.5.</t>
  </si>
  <si>
    <t>uređenje toaleta 8-8a, 7 i predvorja 8-8a jug</t>
  </si>
  <si>
    <t>1.6.</t>
  </si>
  <si>
    <t>zamjena dotrajale vanjske stolarije UZ I</t>
  </si>
  <si>
    <t>1.7.</t>
  </si>
  <si>
    <t>prilagodba/izgradnja prostora za novo susretno postrojenje i smještaj  novog 20kV postrojenja, dobava i ugradnja novih transformatora 10/20 kV, priprema za priključenje solarne elektrane</t>
  </si>
  <si>
    <t>1.8.</t>
  </si>
  <si>
    <t xml:space="preserve">vatrodojavna centrala  - zamjena stare </t>
  </si>
  <si>
    <t>1.9.</t>
  </si>
  <si>
    <t>uređenje zidova sajamskih paviljona</t>
  </si>
  <si>
    <t>1.10.</t>
  </si>
  <si>
    <t>sanacija prometnih površina i elemenata odvodnje</t>
  </si>
  <si>
    <t>1.11.</t>
  </si>
  <si>
    <t>Uklanjanje objekata na otvorenom prostoru</t>
  </si>
  <si>
    <t>1.12.</t>
  </si>
  <si>
    <t xml:space="preserve">uređenje parkirališta za bicikle sa nadstrešnicom </t>
  </si>
  <si>
    <t>1.13.</t>
  </si>
  <si>
    <t>sanacija vanjskih ograda ZV-a</t>
  </si>
  <si>
    <t>1.14.</t>
  </si>
  <si>
    <t>nadogradnja i proširenje sustava naplate parkiranja</t>
  </si>
  <si>
    <t>1.15.</t>
  </si>
  <si>
    <t>građevinski radovi za nadogradnju i proširenje sustava naplate parkiranja</t>
  </si>
  <si>
    <t>1.16.</t>
  </si>
  <si>
    <t>mjerila za toplinsku energiju</t>
  </si>
  <si>
    <t>1.17.</t>
  </si>
  <si>
    <t>zamjena dotrajale vanjske stolarije RK</t>
  </si>
  <si>
    <t>1.18.</t>
  </si>
  <si>
    <t>zamjena dotrajale vanjske stolarije pav.5,6,8,8a,9,11</t>
  </si>
  <si>
    <t>1.19.</t>
  </si>
  <si>
    <t>sanacija paviljona 34 od posljedica oluje 18.07.2023.</t>
  </si>
  <si>
    <t>1.20.</t>
  </si>
  <si>
    <t>sanacija paviljona 5</t>
  </si>
  <si>
    <t>UKUPNO OPREMA</t>
  </si>
  <si>
    <t>POSTROJENJA I OPREMA</t>
  </si>
  <si>
    <t>2.1.1.</t>
  </si>
  <si>
    <t>Uredska oprema</t>
  </si>
  <si>
    <t>2.1.1.1.</t>
  </si>
  <si>
    <t>1. pisaći,računski i ostali strojevi</t>
  </si>
  <si>
    <t>2.1.1.2.</t>
  </si>
  <si>
    <t>2.Kompjutorsko informatička oprema</t>
  </si>
  <si>
    <t>2.1.1.2.1.</t>
  </si>
  <si>
    <t>računala ,skeneri, printeri</t>
  </si>
  <si>
    <t>2.1.1.2.2.</t>
  </si>
  <si>
    <t>serveri + ups</t>
  </si>
  <si>
    <t>2.1.1.2.3.</t>
  </si>
  <si>
    <t xml:space="preserve">ostala računalna oprema </t>
  </si>
  <si>
    <t>2.1.1.3.</t>
  </si>
  <si>
    <t xml:space="preserve">3.Ostala elektronička oprema </t>
  </si>
  <si>
    <t>2.1.1.3.1.</t>
  </si>
  <si>
    <t>solventni printer i oprema</t>
  </si>
  <si>
    <t>2.1.1.4.</t>
  </si>
  <si>
    <t>4.Ostala uredska oprema</t>
  </si>
  <si>
    <t>2.1.2.</t>
  </si>
  <si>
    <t>Mjerni i kontrolni uređaji</t>
  </si>
  <si>
    <t>2.1.2.1.</t>
  </si>
  <si>
    <t>kontrolni vodomjeri</t>
  </si>
  <si>
    <t>2.1.2.2.</t>
  </si>
  <si>
    <t>TK mjerni instrumenti</t>
  </si>
  <si>
    <t>2.1.2.3.</t>
  </si>
  <si>
    <t>mjerni instrumenti za elektroinstalacije</t>
  </si>
  <si>
    <t>2.1.2.4.</t>
  </si>
  <si>
    <t>termografska kamera</t>
  </si>
  <si>
    <t>2.1.2.5.</t>
  </si>
  <si>
    <t>laserski metar</t>
  </si>
  <si>
    <t>2.1.3.</t>
  </si>
  <si>
    <t>Oprema za grijanje ventilaciju i rashladni uređaji</t>
  </si>
  <si>
    <t>2.1.3.1.</t>
  </si>
  <si>
    <t>industrijski toplovodni grijač zraka</t>
  </si>
  <si>
    <t>2.1.3.2.</t>
  </si>
  <si>
    <t>klima uređaji</t>
  </si>
  <si>
    <t>2.1.3.3.</t>
  </si>
  <si>
    <t>uređaji i ventili za regulaciju grijanja</t>
  </si>
  <si>
    <t>2.1.3.4.</t>
  </si>
  <si>
    <t>usisavači i otirač</t>
  </si>
  <si>
    <t>2.1.4.</t>
  </si>
  <si>
    <t>Oprema za protupožarnu zaštitu</t>
  </si>
  <si>
    <t>2.1.5.</t>
  </si>
  <si>
    <t>Ostala oprema</t>
  </si>
  <si>
    <t>2.1.5.1.</t>
  </si>
  <si>
    <t>kalorimetri</t>
  </si>
  <si>
    <t>2.1.5.2.</t>
  </si>
  <si>
    <t>ostala oprema za obavljanje komunalnih djelatnosti - spremnici i stroj Karcher</t>
  </si>
  <si>
    <t>2.1.5.3.</t>
  </si>
  <si>
    <t>dobava i ugradnja kanti za otpad</t>
  </si>
  <si>
    <t>2.1.5.4.</t>
  </si>
  <si>
    <t>štand oprema i materijal</t>
  </si>
  <si>
    <t>2.1.5.5.</t>
  </si>
  <si>
    <t>štand  namještaj (stolci, hladnjaci, vrata)</t>
  </si>
  <si>
    <t>2.1.5.6.</t>
  </si>
  <si>
    <t xml:space="preserve">reflektori </t>
  </si>
  <si>
    <t>2.1.5.7.</t>
  </si>
  <si>
    <t>koferi za štand rasvjetu</t>
  </si>
  <si>
    <t>2.1.5.8.</t>
  </si>
  <si>
    <t>priključni ormarići za izložbene prostore</t>
  </si>
  <si>
    <t>2.1.5.9.</t>
  </si>
  <si>
    <t>nova teretna vrata na paviljonima</t>
  </si>
  <si>
    <t>2.1.5.10.</t>
  </si>
  <si>
    <t>foto aparat kompaktni</t>
  </si>
  <si>
    <t>2.1.5.11.</t>
  </si>
  <si>
    <t>mikrofoni bežični</t>
  </si>
  <si>
    <t>2.1.5.12.</t>
  </si>
  <si>
    <t>sušila za ruke</t>
  </si>
  <si>
    <t>2.1.5.13.</t>
  </si>
  <si>
    <t>ugradnja uređaja za komunikaciju putem GSM modula u dizala</t>
  </si>
  <si>
    <t>2.1.5.14.</t>
  </si>
  <si>
    <t>stalci (klamerice) za parkiranje bicikla</t>
  </si>
  <si>
    <t>2.1.5.15.</t>
  </si>
  <si>
    <t>višenamjenski stroj za košnju trave</t>
  </si>
  <si>
    <t>2.1.5.16.</t>
  </si>
  <si>
    <t>mini wash</t>
  </si>
  <si>
    <t>2.2.</t>
  </si>
  <si>
    <t>ALAT, POGONSKI I  UREDSKI NAMJEŠTAJ I OSTALO</t>
  </si>
  <si>
    <t>2.2.1.</t>
  </si>
  <si>
    <t>zamjena dotrajalih distributivnih transformatora - kom 1</t>
  </si>
  <si>
    <t>2.2.2.</t>
  </si>
  <si>
    <t xml:space="preserve">telefonske i telegrafske centrale i pripadajući uređaji (mob) </t>
  </si>
  <si>
    <t>2.2.3.</t>
  </si>
  <si>
    <t>samohodni uređaj za pranje i čišćenje podova</t>
  </si>
  <si>
    <t>2.2.4.</t>
  </si>
  <si>
    <t>motorna pila, puhač lišća, kresač visokih grana, čistač okretnim četkama - AKU čistač, strujna klješta</t>
  </si>
  <si>
    <t>2.2.5.</t>
  </si>
  <si>
    <t>2.2.6.</t>
  </si>
  <si>
    <t>ručni viličar</t>
  </si>
  <si>
    <t>2.2.7.</t>
  </si>
  <si>
    <t>stroj za zbrinjavanje biljnog otpada</t>
  </si>
  <si>
    <t>2.2.8.</t>
  </si>
  <si>
    <t>elektroizolacijski tepih srednji napon</t>
  </si>
  <si>
    <t>2.2.9.</t>
  </si>
  <si>
    <t>dogradnja kamiona košare s daljinskim upravljačem</t>
  </si>
  <si>
    <t>2.2.10.</t>
  </si>
  <si>
    <t>uredski namještaj</t>
  </si>
  <si>
    <t>2.3.</t>
  </si>
  <si>
    <t>TRANSPORTNA SREDSTVA U CESTOVNOM PROMETU</t>
  </si>
  <si>
    <t>2.3.1.</t>
  </si>
  <si>
    <t>teretno vozilo do 3,5 t, otvoreni sanduk + kuka za vuču, B kategorija</t>
  </si>
  <si>
    <t>2.3.2.</t>
  </si>
  <si>
    <t>dva mala teretna vozila, otvoreni sanduk, B kategorija</t>
  </si>
  <si>
    <t>2.3.3.</t>
  </si>
  <si>
    <t>dva laka gospodarska vozila</t>
  </si>
  <si>
    <t>2.3.4.</t>
  </si>
  <si>
    <t>električni čelični viličar nosivosti do 2,5 t</t>
  </si>
  <si>
    <t>SVE DRUGE INVESTICIJE, od toga najviše:</t>
  </si>
  <si>
    <t>3.1.</t>
  </si>
  <si>
    <t xml:space="preserve">izrada tehničke dokumentacije (sanacije krova paviljona 29,;uređenje podova sajamskih paviljona;uređenje toaleta i predvorja;modernizacija vodosrpne stanice;solarna elektrana, paviljon 28, revitalizacija ZV) </t>
  </si>
  <si>
    <t>3.2.</t>
  </si>
  <si>
    <t>provedba energetskih pregleda i izrada Izvješća o provedenim energetskim pregledima paviljona 5,6,8,8a,8b,10,10a,11,11A,11d,34,39 i RK- zakon.obv.</t>
  </si>
  <si>
    <t>3.3.</t>
  </si>
  <si>
    <t>izrada konzervatorskog elaborata i podloga za zaštićene paviljone</t>
  </si>
  <si>
    <t>3.4.</t>
  </si>
  <si>
    <t>Izrada projektno-tehničke dokumentacije Paviljona 28 Đuro Đaković</t>
  </si>
  <si>
    <t>3.5.</t>
  </si>
  <si>
    <t xml:space="preserve">izrada tehničke dokumentacije sanacije krova paviljona 11A </t>
  </si>
  <si>
    <t>3.6.</t>
  </si>
  <si>
    <t>provedba energetskih pregleda i izrada Izvješća o provedenim energetskim pregledima paviljona 7, 12, 13, 23, JU, UZ I i UZ II- zakon.obv.</t>
  </si>
  <si>
    <t>3.7.</t>
  </si>
  <si>
    <t>računalni programi, software</t>
  </si>
  <si>
    <t>3.8.</t>
  </si>
  <si>
    <t>Dobava i ugradnja mjernih uređaja za daljinsko očitanje utroška energije i vode</t>
  </si>
  <si>
    <t>3.9.</t>
  </si>
  <si>
    <t>studija najbolje namjene razvoja Kongresnog centra i pratećih sadržaja</t>
  </si>
  <si>
    <t>3.10.</t>
  </si>
  <si>
    <t>3.11.</t>
  </si>
  <si>
    <t>izrada tehničke dokumentacije za potrebe pojačanog održavanja i obnova asfaltnih kolnika, sanacija i dopuna elemenata odvodnje</t>
  </si>
  <si>
    <t>3.12.</t>
  </si>
  <si>
    <t>izrada tehničke dokumentacije rekonstrukcija pav 22</t>
  </si>
  <si>
    <t>3.13.</t>
  </si>
  <si>
    <t>izrada tehničke dokumentacije (uređenje JU, pav.12, konf.dvorane RK, toalrta JU i pav.10a</t>
  </si>
  <si>
    <t>3.14.</t>
  </si>
  <si>
    <t>izrada tehničke dokumentacije rekonstrukcija i dogradnja sustava ventilacije i klimatizacije JU i pav 5</t>
  </si>
  <si>
    <t>3.15.</t>
  </si>
  <si>
    <t>licence</t>
  </si>
  <si>
    <t>3.16.</t>
  </si>
  <si>
    <t>zaštitni znak</t>
  </si>
  <si>
    <t>UKUPNO 1+2+3</t>
  </si>
  <si>
    <t xml:space="preserve">Plan novčanog tijeka za razdoblje I. - XII. 2025. </t>
  </si>
  <si>
    <t>O p i s</t>
  </si>
  <si>
    <t>Procjena ostvarenja 
I. - XII. 2024.</t>
  </si>
  <si>
    <t>Plan 
I. - XII. 2025.</t>
  </si>
  <si>
    <t>POSLOVNE AKTIVNOSTI:</t>
  </si>
  <si>
    <t>Naplata proizvoda, roba i usluga od kupaca</t>
  </si>
  <si>
    <t>Naplata proizvoda, roba i usluga od Grada</t>
  </si>
  <si>
    <t>Naplata od osiguravajućih društava</t>
  </si>
  <si>
    <t>Naplata od subvencija, dotacija i potpora od Grada</t>
  </si>
  <si>
    <t>Ostali primici</t>
  </si>
  <si>
    <t>Isplate dobavljača</t>
  </si>
  <si>
    <t>Isplate zaposlenicima</t>
  </si>
  <si>
    <t>Izdaci za otplatu kamata</t>
  </si>
  <si>
    <t>Isplaćeni PDV i ostali porezi</t>
  </si>
  <si>
    <t>Ostali odljevi iz poslovnih aktivnosti</t>
  </si>
  <si>
    <t>1. NETO NOVČANI TIJEK IZ POSLOVNIH AKTIVNOSTI</t>
  </si>
  <si>
    <t>ULAGATELJSKE AKTIVNOSTI:</t>
  </si>
  <si>
    <t>Izdaci za nabavu dugotrajne imovine</t>
  </si>
  <si>
    <t>Primici od dividendi i udjela</t>
  </si>
  <si>
    <t>Primici od kamata iz depozita i danih pozajmica</t>
  </si>
  <si>
    <t>Primici od prodaje imovine</t>
  </si>
  <si>
    <t>2. NETO NOVČANI TIJEK IZ ULAGATELJSKIH AKTIVNOSTI</t>
  </si>
  <si>
    <t>FINANCIJSKE AKTIVNOSTI:</t>
  </si>
  <si>
    <t>Primici od povlačenja zajmova i kredita od banaka</t>
  </si>
  <si>
    <t>Primici od povrata pozajmica od povezanih društava</t>
  </si>
  <si>
    <t>Izdaci za otplatu kredita i zajmova bankama i drugim financijskim institucijama</t>
  </si>
  <si>
    <t>Povrat pozajmica povezanim društvima i ostali izdaci</t>
  </si>
  <si>
    <t>Primici od prodaje nedospjelih potraživanja</t>
  </si>
  <si>
    <t>3. NETO NOVČANI TIJEK IZ FINANCIJSKIH AKTIVNOSTI</t>
  </si>
  <si>
    <t>4. NETO POVEĆANJE ILI SMANJENJE NOVCA (1+2+3)=(6-5)</t>
  </si>
  <si>
    <t>5. NOVAC I NOVČANI EKVIVALENTI NA POČETKU RAZDOBLJA</t>
  </si>
  <si>
    <t>6. NOVAC I NOVČANI EKVIVALENTI NA KRAJU RAZDOBLJA</t>
  </si>
  <si>
    <t xml:space="preserve">Sajmovi </t>
  </si>
  <si>
    <t>Događanja i privremeni najam</t>
  </si>
  <si>
    <t>Zakup</t>
  </si>
  <si>
    <t>UKUPNO</t>
  </si>
  <si>
    <t>Sajmovi</t>
  </si>
  <si>
    <t>Ostvareno  2023.</t>
  </si>
  <si>
    <t>Plan 2025.</t>
  </si>
  <si>
    <t>Plan / rebalans</t>
  </si>
  <si>
    <t>Zagrebački sajam nautike</t>
  </si>
  <si>
    <t xml:space="preserve">Zagrebački sajam lova </t>
  </si>
  <si>
    <t>Beauty &amp; Hair Expo Zagreb</t>
  </si>
  <si>
    <t>Biam&amp;Zavarivanje</t>
  </si>
  <si>
    <t>Dentex</t>
  </si>
  <si>
    <t xml:space="preserve">Ambienta </t>
  </si>
  <si>
    <t>Hotel &amp; Gastroteh</t>
  </si>
  <si>
    <t>Interliber</t>
  </si>
  <si>
    <t xml:space="preserve">Croagro </t>
  </si>
  <si>
    <t>Sajmovi hrane i zdravog življenja</t>
  </si>
  <si>
    <t>Ukupno</t>
  </si>
  <si>
    <t>Ostvareno                   I. - XII.2023.</t>
  </si>
  <si>
    <t>Plan                        I. - XII.2025.</t>
  </si>
  <si>
    <t>Plan / Rebalans</t>
  </si>
  <si>
    <t>UKUPNO VANSAJAMSKE AKTIVNOSTI</t>
  </si>
  <si>
    <t>PLAN PRIHODA DOGAĐANJA  I PRIVREMENOG NAJMA ZA 2025. GODINU</t>
  </si>
  <si>
    <t>6.</t>
  </si>
  <si>
    <t>PLAN PRIHODA ZAKUPA ZA 2025.</t>
  </si>
  <si>
    <t>Ostvareno                                  I. - XII. 2023.</t>
  </si>
  <si>
    <t>Plan                                              I.-XII.2025.</t>
  </si>
  <si>
    <t>Plan / Rebalans plana</t>
  </si>
  <si>
    <t>8/4</t>
  </si>
  <si>
    <t>10/8</t>
  </si>
  <si>
    <t>Uredski prostor</t>
  </si>
  <si>
    <t>Maloprodaja</t>
  </si>
  <si>
    <t>Ostale usluge</t>
  </si>
  <si>
    <t>Ugostiteljstvo</t>
  </si>
  <si>
    <t>Skladišni prostor</t>
  </si>
  <si>
    <t>Športski tereni</t>
  </si>
  <si>
    <t>Točka 3.1. Plana poslovanja, str. 16</t>
  </si>
  <si>
    <t>Točka 2.1.1.1 Plana poslovanja,str. 8 i Točka 3.1.1. Plana poslovanja str. 21</t>
  </si>
  <si>
    <t>Točka 2.1.1.1 Plana poslovanja, str. 7 i točka 3.1.1. Plana poslovanja, str. 20</t>
  </si>
  <si>
    <t>Točka 2.1.1.1 Plana poslovanja, str. 5 i Točka 3.1.1 Plana poslovanja, str. 19</t>
  </si>
  <si>
    <t>Točka 2.1.1.1 Plana poslovanja, str.4 i Točka 3.1.1 Plana poslovanja, str. 18</t>
  </si>
  <si>
    <t>Točka 2.1.1. Plana poslovanja,str.3 i Točka 3.1 Plana poslovanja, str. 17</t>
  </si>
  <si>
    <t>Točka 2.1. Plana poslovanja,str.2 i Točka 3.1.1 Plana poslovanja, str. 17</t>
  </si>
  <si>
    <t>PLAN PRIHODA SAJMOVA ZA 2025.GODINU</t>
  </si>
  <si>
    <t>Točka 2.1.2 Plana poslovanja str. 10 i Točka 3.1.2 Plana poslovanja str. 22</t>
  </si>
  <si>
    <t>Točka 4.1. Plana poslovanja, str. 25</t>
  </si>
  <si>
    <t>Red.
broj</t>
  </si>
  <si>
    <t>Vrsta usluge</t>
  </si>
  <si>
    <t>Mjerna jedinica</t>
  </si>
  <si>
    <t>Ostvareno             I. - XII.2023.</t>
  </si>
  <si>
    <t>Plan                               I. - XII.2025.</t>
  </si>
  <si>
    <t>7/6</t>
  </si>
  <si>
    <t>Fizički obujam osnovne djelatnosti</t>
  </si>
  <si>
    <t>Neuređeni prostor - otvoreni, zatvoreni</t>
  </si>
  <si>
    <t>Uređenje</t>
  </si>
  <si>
    <t>Broj direktnih izlagača</t>
  </si>
  <si>
    <t>kom</t>
  </si>
  <si>
    <t>Broj ulaznica</t>
  </si>
  <si>
    <t>Fizički obujam zakupa poslovnog prostora</t>
  </si>
  <si>
    <t>PLAN FIZIČKOG OPSEGA USLUGA ZA 2025.GODINU</t>
  </si>
  <si>
    <t>Točka 4.3 Plana poslovanja, str.29</t>
  </si>
  <si>
    <t>Vrsta radova</t>
  </si>
  <si>
    <t>Ostvareno           I. - XII.2023.</t>
  </si>
  <si>
    <t>I. - XII.2024.</t>
  </si>
  <si>
    <t>Plan                        I. - XII. 2025.</t>
  </si>
  <si>
    <t xml:space="preserve">USLUGE ODRŽAVANJA </t>
  </si>
  <si>
    <t>Tekuće održavanje - asfaltiranje</t>
  </si>
  <si>
    <t>Tekuće održavanje - krovopokrivački radovi</t>
  </si>
  <si>
    <t>Tekuće održavanje - bravarski radovi</t>
  </si>
  <si>
    <t>Tekuće održavanje - ličilački radovi</t>
  </si>
  <si>
    <t>Tekuće održavanje - staklarski radovi</t>
  </si>
  <si>
    <t>Tekuće održavanje - građevinski radovi ostali</t>
  </si>
  <si>
    <t>Tekuće održavanje - strojarske instal. - energetske</t>
  </si>
  <si>
    <t>Tekuće održavanje - instalacije kanalizacije</t>
  </si>
  <si>
    <t>Tekuće održavanje - instalacije vodovodne</t>
  </si>
  <si>
    <t>Tekuće održavanje - strojarska oprema</t>
  </si>
  <si>
    <t>Tekuće održavanje - instalacije telekomunikacija</t>
  </si>
  <si>
    <t>Tekuće održavanje - instalacije vatrodojave</t>
  </si>
  <si>
    <t>Tekuće održavanje - elektroinstalacije i oprema - ostalo</t>
  </si>
  <si>
    <t>Tekuće održavanje - elektr. oprema</t>
  </si>
  <si>
    <t>Tekuće održavanje - agregati</t>
  </si>
  <si>
    <t>Tekuće održavanje - EOP - oprema</t>
  </si>
  <si>
    <t>Tekuće održavanje - trafostanice</t>
  </si>
  <si>
    <t>Tekuće održavanje - atesti i ispitivanje</t>
  </si>
  <si>
    <t>Tekuće održavanje - čišćenje i uređenje - zelenilo</t>
  </si>
  <si>
    <t>Tekuće održavanje - neproizvodne vanjske usluge</t>
  </si>
  <si>
    <t>Tekuće održavanje - razni popravci</t>
  </si>
  <si>
    <t>Tekuće održavanje - stolarski radovi</t>
  </si>
  <si>
    <t>Tekuće održavanje - obrtničkii radovi - ostalo</t>
  </si>
  <si>
    <t>Tekuće održavanje ostalih prijevoznih sredstava</t>
  </si>
  <si>
    <t>usluge tek. Inv popravaka osobnih automobila</t>
  </si>
  <si>
    <t>PLAN TEKUĆEG ODRŽAVANJA SREDSTAVA RADA ZA 2025.GODINU</t>
  </si>
  <si>
    <t>Točka 4.4. Plana poslovanja, str.30</t>
  </si>
  <si>
    <t>Red.br</t>
  </si>
  <si>
    <t>Vrsta energije</t>
  </si>
  <si>
    <t>Jedinica
mjere</t>
  </si>
  <si>
    <t>Plan                               I. - XII. 2025.</t>
  </si>
  <si>
    <t>Električna energija</t>
  </si>
  <si>
    <t>Plin</t>
  </si>
  <si>
    <t>Tehnološka para</t>
  </si>
  <si>
    <t>Motorni benzin</t>
  </si>
  <si>
    <t>PLAN UTROŠKA ENERGIJE ZA 2025.GODINU</t>
  </si>
  <si>
    <t>Točka 4.5. Plana poslovanja, str. 31</t>
  </si>
  <si>
    <t>Točka 5. Plana poslovanja, str. 41</t>
  </si>
  <si>
    <t>Točka 6. Plana poslovanja, str. 42</t>
  </si>
  <si>
    <t xml:space="preserve"> Rebalans plana</t>
  </si>
  <si>
    <t>pisaći,računski i ostali strojevi</t>
  </si>
  <si>
    <t>kompjutersko informatička oprema</t>
  </si>
  <si>
    <t>Računala ,skeneri, printeri</t>
  </si>
  <si>
    <t xml:space="preserve">Ostala elektronička oprema </t>
  </si>
  <si>
    <t>Ostala uredska oprema</t>
  </si>
  <si>
    <t xml:space="preserve">ostala oprema za obavljanje komunalnih djelatnosti </t>
  </si>
  <si>
    <t xml:space="preserve">izrada tehničke dokumentacije (sanacije krova paviljona 29,;uređenje podova sajamskih paviljona;uređenje toaleta i predvorja;modernizacija vodocrpne stanice;solarna elektrana, paviljon 28, revitalizacija ZV) </t>
  </si>
  <si>
    <t xml:space="preserve">izrada tehničke dokumentacije za uklanjanje 10 građevina na otvorenom prostoru </t>
  </si>
  <si>
    <t>Točka 7.1 Plana poslovanja, str 43</t>
  </si>
  <si>
    <t>Plan izvora financiranja investicija u dugotrajnu imovinu za 2025.</t>
  </si>
  <si>
    <t>- iznosi u eurima, bez centi
- udjeli u %-tku</t>
  </si>
  <si>
    <t>Izvori financiranja
investicija</t>
  </si>
  <si>
    <t>Ostvareno                      I. - XII. 2023.</t>
  </si>
  <si>
    <t>Rebalans plana</t>
  </si>
  <si>
    <t>Procjena ostvarenja /
Rebalans plana</t>
  </si>
  <si>
    <t>Ukupno (9 + 10)</t>
  </si>
  <si>
    <t>11/7</t>
  </si>
  <si>
    <t xml:space="preserve">I.
</t>
  </si>
  <si>
    <t>Osigurani izvori financiranja investicija,
u tome:</t>
  </si>
  <si>
    <t>Vlastita sredstva</t>
  </si>
  <si>
    <t>Tuđa sredstva, od toga:</t>
  </si>
  <si>
    <t>2.1.  Kredit banke</t>
  </si>
  <si>
    <t>2.2.  Financijski leasing</t>
  </si>
  <si>
    <t>dobije kad zbrojim "pomočne" tablice slane u grad da su ukupna odobrena sredstva</t>
  </si>
  <si>
    <t>2.3.  Proračun Grada Zagreba</t>
  </si>
  <si>
    <t>2.4.  Naknada za razvoj javne vodoopskrbe 
         i javne odvodnje</t>
  </si>
  <si>
    <t>2.5.  Fond za zaštitu okoliša
        i energetsku učinkovitost</t>
  </si>
  <si>
    <t>2.6.  Fondovi EU</t>
  </si>
  <si>
    <t>2.7.  Obveznice</t>
  </si>
  <si>
    <t>2.7.  Hrvatske vode</t>
  </si>
  <si>
    <t>2.8.  Proračuni jedinica lokalne i područne
        (regionalne) samouprave</t>
  </si>
  <si>
    <t>2.9.  Sva druga nespomenuta tuđa sredstva</t>
  </si>
  <si>
    <t>Ukupno osigurani izvori
financiranja investicija (I.)</t>
  </si>
  <si>
    <t>Neosigurani izvori financiranja investicija (II.)</t>
  </si>
  <si>
    <t>Ukupno  (I.+II.)</t>
  </si>
  <si>
    <t>Točka 7.2. Plana poslovanja, str 44</t>
  </si>
  <si>
    <t>Planirana vrijednost investicijskih ulaganja u dugotrajnu imovinu za 2025. 
prema namjeni i izvorima financiranja investicija</t>
  </si>
  <si>
    <t>provedba energetskih pregleda i izrada Izvješća o provedenim energetskim pregledima paviljona 5, 6, 8, 8a, 8b, 10, 10a,11,11A,11d,34,39 i RK- zakon.obv.</t>
  </si>
  <si>
    <t>Točka 7.3. plana poslovanja, str. 45</t>
  </si>
  <si>
    <t>Točka 8. Plana poslovanja, str. 46</t>
  </si>
  <si>
    <t>Ključni pokazatelji uspjeha</t>
  </si>
  <si>
    <t>R.
Br.</t>
  </si>
  <si>
    <t>Željena
razina</t>
  </si>
  <si>
    <t xml:space="preserve">Plan 
I. - XII. 2025.
</t>
  </si>
  <si>
    <t>Indeks</t>
  </si>
  <si>
    <t>a) Ekonomski aspekt poslovanja</t>
  </si>
  <si>
    <t>Pokazatelj opće ekonomičnosti</t>
  </si>
  <si>
    <t>Minimalno
&gt; 100</t>
  </si>
  <si>
    <t>(Ukupni prihodi / Ukupni rashodi x 100)</t>
  </si>
  <si>
    <t>(postotni odnos)</t>
  </si>
  <si>
    <t>Pokazatelj proizvodnosti</t>
  </si>
  <si>
    <t>Kontinuirano povećanje</t>
  </si>
  <si>
    <t>(Ukupni prihodi / prosječan broj zaposlenih)</t>
  </si>
  <si>
    <t>(iznosi u eurima, bez centi)</t>
  </si>
  <si>
    <t>Pokazatelj rentabilnosti</t>
  </si>
  <si>
    <t>Minimalno
&gt; 1%</t>
  </si>
  <si>
    <t>(Bruto dobit / Ukupni prihod x 100)</t>
  </si>
  <si>
    <t>(%)</t>
  </si>
  <si>
    <t>Operativna dobit</t>
  </si>
  <si>
    <t>Kontinuirano povećanje
&gt; 0</t>
  </si>
  <si>
    <t>(EBIT = Poslovni prihodi - Poslovni rashodi)</t>
  </si>
  <si>
    <t xml:space="preserve">Pokazatelj samofinanciranja - financijske stabilnosti: udjel vlastitog </t>
  </si>
  <si>
    <t>&gt; 30%</t>
  </si>
  <si>
    <t>31.12.2024.</t>
  </si>
  <si>
    <t>31.12.2025.</t>
  </si>
  <si>
    <t>kapitala u izvorima financiranja imovine</t>
  </si>
  <si>
    <t>(Kapital i rezerve te rezerviranja / Pasiva x 100)</t>
  </si>
  <si>
    <t>Pokazatelj likvidnosti - koeficijent opće likvidnosti</t>
  </si>
  <si>
    <t>Optimum:
koeficijent 2,00</t>
  </si>
  <si>
    <t>(Kratkotrajna imovina / Kratkoročne obveze x 100)</t>
  </si>
  <si>
    <t>(koeficijent)</t>
  </si>
  <si>
    <t>b) Socijalni aspekt poslovanja</t>
  </si>
  <si>
    <t xml:space="preserve">Prosječna mjesečna isplaćena neto-plaća po zaposlenom za razdoblje </t>
  </si>
  <si>
    <r>
      <t>siječanj - lipanj 2015. / siječanj - lipanj 2014.</t>
    </r>
    <r>
      <rPr>
        <sz val="11"/>
        <rFont val="Arial Narrow"/>
        <family val="2"/>
        <charset val="238"/>
      </rPr>
      <t xml:space="preserve"> - </t>
    </r>
    <r>
      <rPr>
        <b/>
        <sz val="11"/>
        <rFont val="Arial Narrow"/>
        <family val="2"/>
        <charset val="238"/>
      </rPr>
      <t>ukupno</t>
    </r>
  </si>
  <si>
    <t>(iznosi u kunama, bez lipa)</t>
  </si>
  <si>
    <r>
      <t xml:space="preserve">    7.1. Prosječna mjesečna neto-plaća </t>
    </r>
    <r>
      <rPr>
        <b/>
        <sz val="11"/>
        <rFont val="Arial Narrow"/>
        <family val="2"/>
        <charset val="238"/>
      </rPr>
      <t>za muškarce</t>
    </r>
  </si>
  <si>
    <r>
      <t xml:space="preserve">    7.2. Prosječna mjesečna neto-plaća </t>
    </r>
    <r>
      <rPr>
        <b/>
        <sz val="11"/>
        <rFont val="Arial Narrow"/>
        <family val="2"/>
        <charset val="238"/>
      </rPr>
      <t>za žene</t>
    </r>
    <r>
      <rPr>
        <sz val="11"/>
        <rFont val="Arial Narrow"/>
        <family val="2"/>
        <charset val="238"/>
      </rPr>
      <t xml:space="preserve"> </t>
    </r>
  </si>
  <si>
    <t>Udjel troškova za zaposlene u ukupnim operativnim troškovima</t>
  </si>
  <si>
    <t>&lt; 50%
(Smanjenje rashoda osoblja sukladno uvjetima i rezultatima)</t>
  </si>
  <si>
    <t>(Troškovi osoblja + nakanade troškova radnicima i izdaci za ostala materijalna prava / Poslovni rashodi x 100)</t>
  </si>
  <si>
    <t>c) Ekološki aspekt poslovanja</t>
  </si>
  <si>
    <t>Udjel troškova utrošene energije u ukupnim operativnim troškovima</t>
  </si>
  <si>
    <t>Kontinuirano
smanjenje</t>
  </si>
  <si>
    <t>(Troškovi utrošene energije / Poslovni rashodi x 100)</t>
  </si>
  <si>
    <t xml:space="preserve">  </t>
  </si>
  <si>
    <t>Točka 9. Plana poslovanja, str.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</si>
</sst>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#&quot;.&quot;"/>
    <numFmt numFmtId="166" formatCode="General\.&quot; &quot;"/>
    <numFmt numFmtId="167" formatCode="0.0"/>
    <numFmt numFmtId="168" formatCode="General&quot;. &quot;"/>
    <numFmt numFmtId="169" formatCode="#,##0.00\ [$€-1]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sz val="7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1"/>
      <name val="Arial"/>
      <family val="2"/>
    </font>
    <font>
      <sz val="12"/>
      <color indexed="62"/>
      <name val="Arial"/>
      <family val="2"/>
      <charset val="238"/>
    </font>
    <font>
      <sz val="12"/>
      <name val="Arial"/>
      <family val="2"/>
    </font>
    <font>
      <b/>
      <sz val="12"/>
      <color rgb="FF000000"/>
      <name val="Arial"/>
      <family val="2"/>
    </font>
    <font>
      <sz val="9"/>
      <name val="Arial CE"/>
    </font>
    <font>
      <sz val="11"/>
      <name val="Arial CE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8"/>
      <name val="Arial CE"/>
    </font>
    <font>
      <b/>
      <sz val="8"/>
      <name val="Arial CE"/>
      <family val="2"/>
      <charset val="238"/>
    </font>
    <font>
      <b/>
      <sz val="10"/>
      <name val="Arial CE"/>
    </font>
    <font>
      <sz val="9"/>
      <name val="Arial CE"/>
      <charset val="238"/>
    </font>
    <font>
      <sz val="10"/>
      <name val="Arial CE"/>
      <family val="2"/>
      <charset val="238"/>
    </font>
    <font>
      <b/>
      <sz val="9"/>
      <color rgb="FF002060"/>
      <name val="Arial CE"/>
      <charset val="238"/>
    </font>
    <font>
      <b/>
      <sz val="9"/>
      <color rgb="FF002060"/>
      <name val="Arial CE"/>
      <family val="2"/>
      <charset val="238"/>
    </font>
    <font>
      <b/>
      <sz val="9"/>
      <color rgb="FF002060"/>
      <name val="Arial"/>
      <family val="2"/>
      <charset val="238"/>
    </font>
    <font>
      <b/>
      <sz val="10"/>
      <color rgb="FF002060"/>
      <name val="Arial CE"/>
      <family val="2"/>
      <charset val="238"/>
    </font>
    <font>
      <b/>
      <sz val="9"/>
      <color rgb="FF002060"/>
      <name val="Arial CE"/>
    </font>
    <font>
      <sz val="9"/>
      <color indexed="62"/>
      <name val="Arial CE"/>
    </font>
    <font>
      <sz val="9"/>
      <color indexed="56"/>
      <name val="Arial CE"/>
      <family val="2"/>
      <charset val="238"/>
    </font>
    <font>
      <sz val="9"/>
      <color indexed="56"/>
      <name val="Arial CE"/>
      <charset val="238"/>
    </font>
    <font>
      <sz val="10"/>
      <name val="Arial CE"/>
      <charset val="238"/>
    </font>
    <font>
      <sz val="10"/>
      <color indexed="56"/>
      <name val="Arial CE"/>
      <family val="2"/>
      <charset val="238"/>
    </font>
    <font>
      <sz val="9"/>
      <color rgb="FF002060"/>
      <name val="Arial CE"/>
      <family val="2"/>
      <charset val="238"/>
    </font>
    <font>
      <sz val="10"/>
      <color rgb="FF002060"/>
      <name val="Arial CE"/>
      <family val="2"/>
      <charset val="238"/>
    </font>
    <font>
      <sz val="9"/>
      <color rgb="FF002060"/>
      <name val="Arial CE"/>
    </font>
    <font>
      <sz val="8"/>
      <name val="Arial"/>
      <family val="2"/>
      <charset val="238"/>
    </font>
    <font>
      <b/>
      <sz val="12"/>
      <name val="Arial"/>
      <family val="2"/>
    </font>
    <font>
      <i/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0"/>
      <color rgb="FF000000"/>
      <name val="Tahoma"/>
      <family val="2"/>
    </font>
    <font>
      <sz val="7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name val="Arial CE"/>
      <charset val="238"/>
    </font>
    <font>
      <i/>
      <sz val="9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1"/>
      <color indexed="62"/>
      <name val="Arial Narrow"/>
      <family val="2"/>
      <charset val="238"/>
    </font>
    <font>
      <sz val="10"/>
      <name val="Arial Narrow"/>
      <family val="2"/>
      <charset val="238"/>
    </font>
    <font>
      <b/>
      <i/>
      <sz val="11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C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E7E6E6"/>
      </patternFill>
    </fill>
    <fill>
      <patternFill patternType="solid">
        <fgColor theme="0"/>
        <bgColor rgb="FFE7E6E6"/>
      </patternFill>
    </fill>
    <fill>
      <patternFill patternType="solid">
        <fgColor theme="8" tint="0.79998168889431442"/>
        <bgColor indexed="64"/>
      </patternFill>
    </fill>
  </fills>
  <borders count="2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theme="0" tint="-0.34998626667073579"/>
      </bottom>
      <diagonal/>
    </border>
    <border>
      <left style="double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double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/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/>
      <diagonal/>
    </border>
    <border>
      <left style="double">
        <color indexed="64"/>
      </left>
      <right style="thin">
        <color indexed="64"/>
      </right>
      <top style="hair">
        <color theme="0" tint="-0.34998626667073579"/>
      </top>
      <bottom style="double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double">
        <color indexed="64"/>
      </bottom>
      <diagonal/>
    </border>
    <border>
      <left/>
      <right/>
      <top style="hair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9" fontId="56" fillId="0" borderId="0" applyFont="0" applyFill="0" applyBorder="0" applyAlignment="0" applyProtection="0"/>
    <xf numFmtId="0" fontId="61" fillId="0" borderId="0" applyNumberFormat="0" applyBorder="0" applyProtection="0"/>
  </cellStyleXfs>
  <cellXfs count="1100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16" fontId="4" fillId="3" borderId="1" xfId="0" quotePrefix="1" applyNumberFormat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3" xfId="0" quotePrefix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0" fontId="7" fillId="0" borderId="0" xfId="0" applyFont="1"/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3" fontId="2" fillId="4" borderId="5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165" fontId="2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0" xfId="0" applyNumberFormat="1" applyFont="1"/>
    <xf numFmtId="1" fontId="2" fillId="0" borderId="0" xfId="0" applyNumberFormat="1" applyFont="1"/>
    <xf numFmtId="165" fontId="2" fillId="4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vertical="center"/>
    </xf>
    <xf numFmtId="165" fontId="2" fillId="4" borderId="3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vertical="center"/>
    </xf>
    <xf numFmtId="3" fontId="2" fillId="6" borderId="3" xfId="0" applyNumberFormat="1" applyFont="1" applyFill="1" applyBorder="1" applyAlignment="1">
      <alignment vertical="center"/>
    </xf>
    <xf numFmtId="165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7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9" xfId="0" applyFont="1" applyBorder="1" applyAlignment="1" applyProtection="1">
      <alignment horizontal="left" vertical="center" indent="6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19" fillId="0" borderId="17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1" fontId="20" fillId="0" borderId="36" xfId="0" applyNumberFormat="1" applyFont="1" applyBorder="1" applyAlignment="1" applyProtection="1">
      <alignment horizontal="center" vertical="center"/>
      <protection locked="0"/>
    </xf>
    <xf numFmtId="1" fontId="20" fillId="0" borderId="37" xfId="0" applyNumberFormat="1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1" fontId="20" fillId="0" borderId="39" xfId="0" applyNumberFormat="1" applyFont="1" applyBorder="1" applyAlignment="1" applyProtection="1">
      <alignment horizontal="center" vertical="center"/>
      <protection locked="0"/>
    </xf>
    <xf numFmtId="1" fontId="20" fillId="0" borderId="38" xfId="0" applyNumberFormat="1" applyFont="1" applyBorder="1" applyAlignment="1" applyProtection="1">
      <alignment horizontal="center" vertical="center"/>
      <protection locked="0"/>
    </xf>
    <xf numFmtId="1" fontId="21" fillId="0" borderId="40" xfId="0" applyNumberFormat="1" applyFont="1" applyBorder="1" applyAlignment="1" applyProtection="1">
      <alignment horizontal="left" vertical="center"/>
      <protection locked="0"/>
    </xf>
    <xf numFmtId="1" fontId="21" fillId="0" borderId="4" xfId="0" applyNumberFormat="1" applyFont="1" applyBorder="1" applyAlignment="1" applyProtection="1">
      <alignment horizontal="left" vertical="center"/>
      <protection locked="0"/>
    </xf>
    <xf numFmtId="3" fontId="14" fillId="0" borderId="4" xfId="0" applyNumberFormat="1" applyFont="1" applyBorder="1" applyAlignment="1" applyProtection="1">
      <alignment horizontal="right" vertical="center"/>
      <protection locked="0"/>
    </xf>
    <xf numFmtId="3" fontId="14" fillId="0" borderId="41" xfId="0" applyNumberFormat="1" applyFont="1" applyBorder="1" applyAlignment="1" applyProtection="1">
      <alignment horizontal="right" vertical="center"/>
      <protection locked="0"/>
    </xf>
    <xf numFmtId="3" fontId="14" fillId="0" borderId="4" xfId="0" applyNumberFormat="1" applyFont="1" applyBorder="1" applyAlignment="1">
      <alignment horizontal="right" vertical="center"/>
    </xf>
    <xf numFmtId="164" fontId="22" fillId="0" borderId="42" xfId="0" applyNumberFormat="1" applyFont="1" applyBorder="1" applyAlignment="1">
      <alignment horizontal="right" vertical="center"/>
    </xf>
    <xf numFmtId="3" fontId="23" fillId="0" borderId="4" xfId="0" applyNumberFormat="1" applyFont="1" applyBorder="1" applyAlignment="1" applyProtection="1">
      <alignment horizontal="right" vertical="center"/>
      <protection locked="0"/>
    </xf>
    <xf numFmtId="3" fontId="24" fillId="0" borderId="4" xfId="0" applyNumberFormat="1" applyFont="1" applyBorder="1" applyAlignment="1" applyProtection="1">
      <alignment horizontal="right" vertical="center"/>
      <protection locked="0"/>
    </xf>
    <xf numFmtId="164" fontId="22" fillId="0" borderId="4" xfId="0" applyNumberFormat="1" applyFont="1" applyBorder="1" applyAlignment="1">
      <alignment horizontal="right" vertical="center"/>
    </xf>
    <xf numFmtId="164" fontId="22" fillId="0" borderId="41" xfId="0" applyNumberFormat="1" applyFont="1" applyBorder="1" applyAlignment="1">
      <alignment horizontal="right" vertical="center"/>
    </xf>
    <xf numFmtId="1" fontId="21" fillId="0" borderId="28" xfId="0" applyNumberFormat="1" applyFont="1" applyBorder="1" applyAlignment="1" applyProtection="1">
      <alignment horizontal="left" vertical="center"/>
      <protection locked="0"/>
    </xf>
    <xf numFmtId="1" fontId="21" fillId="0" borderId="1" xfId="0" applyNumberFormat="1" applyFont="1" applyBorder="1" applyAlignment="1" applyProtection="1">
      <alignment horizontal="left" vertical="center"/>
      <protection locked="0"/>
    </xf>
    <xf numFmtId="3" fontId="14" fillId="0" borderId="4" xfId="2" applyNumberFormat="1" applyFont="1" applyBorder="1" applyAlignment="1" applyProtection="1">
      <alignment vertical="center"/>
      <protection locked="0"/>
    </xf>
    <xf numFmtId="3" fontId="14" fillId="0" borderId="41" xfId="2" applyNumberFormat="1" applyFont="1" applyBorder="1" applyAlignment="1" applyProtection="1">
      <alignment vertical="center"/>
      <protection locked="0"/>
    </xf>
    <xf numFmtId="3" fontId="14" fillId="0" borderId="4" xfId="2" applyNumberFormat="1" applyFont="1" applyBorder="1" applyAlignment="1">
      <alignment vertical="center"/>
    </xf>
    <xf numFmtId="164" fontId="22" fillId="0" borderId="17" xfId="0" applyNumberFormat="1" applyFont="1" applyBorder="1" applyAlignment="1">
      <alignment horizontal="right" vertical="center"/>
    </xf>
    <xf numFmtId="3" fontId="23" fillId="0" borderId="4" xfId="3" applyNumberFormat="1" applyFont="1" applyBorder="1" applyAlignment="1" applyProtection="1">
      <alignment vertical="center"/>
      <protection locked="0"/>
    </xf>
    <xf numFmtId="3" fontId="24" fillId="0" borderId="4" xfId="3" applyNumberFormat="1" applyFont="1" applyBorder="1" applyAlignment="1" applyProtection="1">
      <alignment vertical="center"/>
      <protection locked="0"/>
    </xf>
    <xf numFmtId="164" fontId="22" fillId="0" borderId="1" xfId="0" applyNumberFormat="1" applyFont="1" applyBorder="1" applyAlignment="1">
      <alignment horizontal="right" vertical="center"/>
    </xf>
    <xf numFmtId="164" fontId="22" fillId="0" borderId="15" xfId="0" applyNumberFormat="1" applyFont="1" applyBorder="1" applyAlignment="1">
      <alignment horizontal="right" vertical="center"/>
    </xf>
    <xf numFmtId="0" fontId="21" fillId="0" borderId="28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3" fontId="14" fillId="0" borderId="1" xfId="2" applyNumberFormat="1" applyFont="1" applyBorder="1" applyAlignment="1" applyProtection="1">
      <alignment vertical="center"/>
      <protection locked="0"/>
    </xf>
    <xf numFmtId="3" fontId="14" fillId="0" borderId="15" xfId="2" applyNumberFormat="1" applyFont="1" applyBorder="1" applyAlignment="1" applyProtection="1">
      <alignment vertical="center"/>
      <protection locked="0"/>
    </xf>
    <xf numFmtId="3" fontId="14" fillId="0" borderId="1" xfId="2" applyNumberFormat="1" applyFont="1" applyBorder="1" applyAlignment="1">
      <alignment vertical="center"/>
    </xf>
    <xf numFmtId="3" fontId="23" fillId="0" borderId="1" xfId="3" applyNumberFormat="1" applyFont="1" applyBorder="1" applyAlignment="1" applyProtection="1">
      <alignment vertical="center"/>
      <protection locked="0"/>
    </xf>
    <xf numFmtId="3" fontId="24" fillId="0" borderId="1" xfId="3" applyNumberFormat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1" fillId="0" borderId="43" xfId="0" applyFont="1" applyBorder="1" applyAlignment="1" applyProtection="1">
      <alignment vertical="center"/>
      <protection locked="0"/>
    </xf>
    <xf numFmtId="3" fontId="14" fillId="0" borderId="2" xfId="2" applyNumberFormat="1" applyFont="1" applyBorder="1" applyAlignment="1" applyProtection="1">
      <alignment vertical="center"/>
      <protection locked="0"/>
    </xf>
    <xf numFmtId="3" fontId="14" fillId="0" borderId="44" xfId="2" applyNumberFormat="1" applyFont="1" applyBorder="1" applyAlignment="1" applyProtection="1">
      <alignment vertical="center"/>
      <protection locked="0"/>
    </xf>
    <xf numFmtId="3" fontId="14" fillId="0" borderId="2" xfId="2" applyNumberFormat="1" applyFont="1" applyBorder="1" applyAlignment="1">
      <alignment vertical="center"/>
    </xf>
    <xf numFmtId="164" fontId="22" fillId="0" borderId="45" xfId="0" applyNumberFormat="1" applyFont="1" applyBorder="1" applyAlignment="1">
      <alignment horizontal="right" vertical="center"/>
    </xf>
    <xf numFmtId="3" fontId="23" fillId="0" borderId="2" xfId="3" applyNumberFormat="1" applyFont="1" applyBorder="1" applyAlignment="1" applyProtection="1">
      <alignment vertical="center"/>
      <protection locked="0"/>
    </xf>
    <xf numFmtId="3" fontId="24" fillId="0" borderId="2" xfId="3" applyNumberFormat="1" applyFont="1" applyBorder="1" applyAlignment="1" applyProtection="1">
      <alignment vertical="center"/>
      <protection locked="0"/>
    </xf>
    <xf numFmtId="164" fontId="22" fillId="0" borderId="2" xfId="0" applyNumberFormat="1" applyFont="1" applyBorder="1" applyAlignment="1">
      <alignment horizontal="right" vertical="center"/>
    </xf>
    <xf numFmtId="164" fontId="22" fillId="0" borderId="44" xfId="0" applyNumberFormat="1" applyFont="1" applyBorder="1" applyAlignment="1">
      <alignment horizontal="right" vertical="center"/>
    </xf>
    <xf numFmtId="0" fontId="23" fillId="0" borderId="46" xfId="0" applyFont="1" applyBorder="1" applyAlignment="1" applyProtection="1">
      <alignment vertical="center"/>
      <protection locked="0"/>
    </xf>
    <xf numFmtId="0" fontId="21" fillId="0" borderId="47" xfId="0" applyFont="1" applyBorder="1" applyAlignment="1" applyProtection="1">
      <alignment vertical="center"/>
      <protection locked="0"/>
    </xf>
    <xf numFmtId="3" fontId="10" fillId="0" borderId="47" xfId="0" applyNumberFormat="1" applyFont="1" applyBorder="1" applyAlignment="1">
      <alignment vertical="center"/>
    </xf>
    <xf numFmtId="164" fontId="22" fillId="0" borderId="48" xfId="0" applyNumberFormat="1" applyFont="1" applyBorder="1" applyAlignment="1">
      <alignment horizontal="right" vertical="center"/>
    </xf>
    <xf numFmtId="164" fontId="22" fillId="0" borderId="47" xfId="0" applyNumberFormat="1" applyFont="1" applyBorder="1" applyAlignment="1">
      <alignment horizontal="right" vertical="center"/>
    </xf>
    <xf numFmtId="164" fontId="22" fillId="0" borderId="49" xfId="0" applyNumberFormat="1" applyFont="1" applyBorder="1" applyAlignment="1">
      <alignment horizontal="right" vertical="center"/>
    </xf>
    <xf numFmtId="0" fontId="10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5" fillId="0" borderId="0" xfId="1" applyAlignment="1" applyProtection="1">
      <alignment horizontal="right" vertical="center"/>
      <protection locked="0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49" fontId="14" fillId="0" borderId="58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59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65" xfId="0" applyFont="1" applyBorder="1" applyAlignment="1">
      <alignment horizontal="right" vertical="center"/>
    </xf>
    <xf numFmtId="0" fontId="10" fillId="0" borderId="66" xfId="0" applyFont="1" applyBorder="1" applyAlignment="1">
      <alignment vertical="center" wrapText="1"/>
    </xf>
    <xf numFmtId="3" fontId="10" fillId="0" borderId="67" xfId="0" applyNumberFormat="1" applyFont="1" applyBorder="1" applyAlignment="1">
      <alignment vertical="center"/>
    </xf>
    <xf numFmtId="3" fontId="10" fillId="0" borderId="68" xfId="0" applyNumberFormat="1" applyFont="1" applyBorder="1" applyAlignment="1">
      <alignment vertical="center"/>
    </xf>
    <xf numFmtId="3" fontId="10" fillId="0" borderId="69" xfId="0" applyNumberFormat="1" applyFont="1" applyBorder="1" applyAlignment="1">
      <alignment vertical="center"/>
    </xf>
    <xf numFmtId="3" fontId="10" fillId="0" borderId="70" xfId="0" applyNumberFormat="1" applyFont="1" applyBorder="1" applyAlignment="1">
      <alignment vertical="center"/>
    </xf>
    <xf numFmtId="164" fontId="10" fillId="0" borderId="65" xfId="0" applyNumberFormat="1" applyFont="1" applyBorder="1" applyAlignment="1">
      <alignment horizontal="right" vertical="center"/>
    </xf>
    <xf numFmtId="164" fontId="10" fillId="0" borderId="71" xfId="0" applyNumberFormat="1" applyFont="1" applyBorder="1" applyAlignment="1">
      <alignment horizontal="right" vertical="center"/>
    </xf>
    <xf numFmtId="164" fontId="10" fillId="0" borderId="72" xfId="0" applyNumberFormat="1" applyFont="1" applyBorder="1" applyAlignment="1">
      <alignment horizontal="right" vertical="center"/>
    </xf>
    <xf numFmtId="0" fontId="14" fillId="0" borderId="58" xfId="0" applyFont="1" applyBorder="1" applyAlignment="1">
      <alignment horizontal="right" vertical="center"/>
    </xf>
    <xf numFmtId="0" fontId="10" fillId="0" borderId="2" xfId="0" applyFont="1" applyBorder="1" applyAlignment="1" applyProtection="1">
      <alignment vertical="center"/>
      <protection locked="0"/>
    </xf>
    <xf numFmtId="3" fontId="14" fillId="0" borderId="46" xfId="0" applyNumberFormat="1" applyFont="1" applyBorder="1" applyAlignment="1">
      <alignment vertical="center"/>
    </xf>
    <xf numFmtId="3" fontId="14" fillId="0" borderId="73" xfId="0" applyNumberFormat="1" applyFont="1" applyBorder="1" applyAlignment="1">
      <alignment vertical="center"/>
    </xf>
    <xf numFmtId="3" fontId="14" fillId="0" borderId="49" xfId="0" applyNumberFormat="1" applyFont="1" applyBorder="1" applyAlignment="1">
      <alignment vertical="center"/>
    </xf>
    <xf numFmtId="164" fontId="14" fillId="0" borderId="74" xfId="0" applyNumberFormat="1" applyFont="1" applyBorder="1" applyAlignment="1">
      <alignment horizontal="right" vertical="center"/>
    </xf>
    <xf numFmtId="164" fontId="14" fillId="0" borderId="75" xfId="0" applyNumberFormat="1" applyFont="1" applyBorder="1" applyAlignment="1">
      <alignment horizontal="right" vertical="center"/>
    </xf>
    <xf numFmtId="164" fontId="14" fillId="0" borderId="76" xfId="0" applyNumberFormat="1" applyFont="1" applyBorder="1" applyAlignment="1">
      <alignment horizontal="right" vertical="center"/>
    </xf>
    <xf numFmtId="0" fontId="14" fillId="0" borderId="3" xfId="0" applyFont="1" applyBorder="1" applyAlignment="1" applyProtection="1">
      <alignment vertical="center" wrapText="1"/>
      <protection locked="0"/>
    </xf>
    <xf numFmtId="3" fontId="14" fillId="0" borderId="40" xfId="0" applyNumberFormat="1" applyFont="1" applyBorder="1" applyAlignment="1" applyProtection="1">
      <alignment vertical="center"/>
      <protection locked="0"/>
    </xf>
    <xf numFmtId="3" fontId="14" fillId="0" borderId="35" xfId="0" applyNumberFormat="1" applyFont="1" applyBorder="1" applyAlignment="1" applyProtection="1">
      <alignment vertical="center"/>
      <protection locked="0"/>
    </xf>
    <xf numFmtId="3" fontId="14" fillId="0" borderId="4" xfId="0" applyNumberFormat="1" applyFont="1" applyBorder="1" applyAlignment="1" applyProtection="1">
      <alignment vertical="center"/>
      <protection locked="0"/>
    </xf>
    <xf numFmtId="3" fontId="14" fillId="0" borderId="41" xfId="0" applyNumberFormat="1" applyFont="1" applyBorder="1" applyAlignment="1" applyProtection="1">
      <alignment vertical="center"/>
      <protection locked="0"/>
    </xf>
    <xf numFmtId="164" fontId="14" fillId="0" borderId="77" xfId="0" applyNumberFormat="1" applyFont="1" applyBorder="1" applyAlignment="1">
      <alignment horizontal="right" vertical="center"/>
    </xf>
    <xf numFmtId="164" fontId="14" fillId="0" borderId="32" xfId="0" applyNumberFormat="1" applyFont="1" applyBorder="1" applyAlignment="1">
      <alignment horizontal="right" vertical="center"/>
    </xf>
    <xf numFmtId="164" fontId="14" fillId="0" borderId="78" xfId="0" applyNumberFormat="1" applyFont="1" applyBorder="1" applyAlignment="1">
      <alignment horizontal="right" vertical="center"/>
    </xf>
    <xf numFmtId="0" fontId="14" fillId="0" borderId="3" xfId="0" applyFont="1" applyBorder="1" applyAlignment="1" applyProtection="1">
      <alignment horizontal="left" vertical="center" wrapText="1"/>
      <protection locked="0"/>
    </xf>
    <xf numFmtId="3" fontId="14" fillId="0" borderId="79" xfId="0" applyNumberFormat="1" applyFont="1" applyBorder="1" applyAlignment="1" applyProtection="1">
      <alignment vertical="center"/>
      <protection locked="0"/>
    </xf>
    <xf numFmtId="3" fontId="14" fillId="0" borderId="1" xfId="0" applyNumberFormat="1" applyFont="1" applyBorder="1" applyAlignment="1" applyProtection="1">
      <alignment vertical="center"/>
      <protection locked="0"/>
    </xf>
    <xf numFmtId="3" fontId="14" fillId="0" borderId="29" xfId="0" applyNumberFormat="1" applyFont="1" applyBorder="1" applyAlignment="1" applyProtection="1">
      <alignment vertical="center"/>
      <protection locked="0"/>
    </xf>
    <xf numFmtId="3" fontId="14" fillId="0" borderId="15" xfId="0" applyNumberFormat="1" applyFont="1" applyBorder="1" applyAlignment="1" applyProtection="1">
      <alignment vertical="center"/>
      <protection locked="0"/>
    </xf>
    <xf numFmtId="164" fontId="14" fillId="0" borderId="80" xfId="0" applyNumberFormat="1" applyFont="1" applyBorder="1" applyAlignment="1">
      <alignment horizontal="right" vertical="center"/>
    </xf>
    <xf numFmtId="164" fontId="14" fillId="0" borderId="81" xfId="0" applyNumberFormat="1" applyFont="1" applyBorder="1" applyAlignment="1">
      <alignment horizontal="right" vertical="center"/>
    </xf>
    <xf numFmtId="164" fontId="14" fillId="0" borderId="82" xfId="0" applyNumberFormat="1" applyFont="1" applyBorder="1" applyAlignment="1">
      <alignment horizontal="right" vertical="center"/>
    </xf>
    <xf numFmtId="3" fontId="14" fillId="0" borderId="83" xfId="0" applyNumberFormat="1" applyFont="1" applyBorder="1" applyAlignment="1">
      <alignment vertical="center"/>
    </xf>
    <xf numFmtId="3" fontId="14" fillId="0" borderId="84" xfId="0" applyNumberFormat="1" applyFont="1" applyBorder="1" applyAlignment="1">
      <alignment vertical="center"/>
    </xf>
    <xf numFmtId="3" fontId="14" fillId="0" borderId="85" xfId="0" applyNumberFormat="1" applyFont="1" applyBorder="1" applyAlignment="1">
      <alignment vertical="center"/>
    </xf>
    <xf numFmtId="3" fontId="14" fillId="0" borderId="86" xfId="0" applyNumberFormat="1" applyFont="1" applyBorder="1" applyAlignment="1">
      <alignment vertical="center"/>
    </xf>
    <xf numFmtId="164" fontId="14" fillId="0" borderId="87" xfId="0" applyNumberFormat="1" applyFont="1" applyBorder="1" applyAlignment="1">
      <alignment horizontal="right" vertical="center"/>
    </xf>
    <xf numFmtId="164" fontId="14" fillId="0" borderId="88" xfId="0" applyNumberFormat="1" applyFont="1" applyBorder="1" applyAlignment="1">
      <alignment horizontal="right" vertical="center"/>
    </xf>
    <xf numFmtId="164" fontId="14" fillId="0" borderId="89" xfId="0" applyNumberFormat="1" applyFont="1" applyBorder="1" applyAlignment="1">
      <alignment horizontal="right" vertical="center"/>
    </xf>
    <xf numFmtId="3" fontId="14" fillId="0" borderId="90" xfId="0" applyNumberFormat="1" applyFont="1" applyBorder="1" applyAlignment="1" applyProtection="1">
      <alignment vertical="center"/>
      <protection locked="0"/>
    </xf>
    <xf numFmtId="3" fontId="14" fillId="0" borderId="91" xfId="0" applyNumberFormat="1" applyFont="1" applyBorder="1" applyAlignment="1" applyProtection="1">
      <alignment vertical="center"/>
      <protection locked="0"/>
    </xf>
    <xf numFmtId="3" fontId="14" fillId="0" borderId="92" xfId="0" applyNumberFormat="1" applyFont="1" applyBorder="1" applyAlignment="1" applyProtection="1">
      <alignment vertical="center"/>
      <protection locked="0"/>
    </xf>
    <xf numFmtId="3" fontId="14" fillId="0" borderId="93" xfId="0" applyNumberFormat="1" applyFont="1" applyBorder="1" applyAlignment="1" applyProtection="1">
      <alignment vertical="center"/>
      <protection locked="0"/>
    </xf>
    <xf numFmtId="164" fontId="14" fillId="0" borderId="94" xfId="0" applyNumberFormat="1" applyFont="1" applyBorder="1" applyAlignment="1">
      <alignment horizontal="right" vertical="center"/>
    </xf>
    <xf numFmtId="164" fontId="14" fillId="0" borderId="95" xfId="0" applyNumberFormat="1" applyFont="1" applyBorder="1" applyAlignment="1">
      <alignment horizontal="right" vertical="center"/>
    </xf>
    <xf numFmtId="164" fontId="14" fillId="0" borderId="96" xfId="0" applyNumberFormat="1" applyFont="1" applyBorder="1" applyAlignment="1">
      <alignment horizontal="right" vertical="center"/>
    </xf>
    <xf numFmtId="3" fontId="14" fillId="0" borderId="97" xfId="0" applyNumberFormat="1" applyFont="1" applyBorder="1" applyAlignment="1">
      <alignment vertical="center"/>
    </xf>
    <xf numFmtId="3" fontId="14" fillId="0" borderId="98" xfId="0" applyNumberFormat="1" applyFont="1" applyBorder="1" applyAlignment="1">
      <alignment vertical="center"/>
    </xf>
    <xf numFmtId="3" fontId="14" fillId="0" borderId="99" xfId="0" applyNumberFormat="1" applyFont="1" applyBorder="1" applyAlignment="1">
      <alignment vertical="center"/>
    </xf>
    <xf numFmtId="3" fontId="14" fillId="0" borderId="100" xfId="0" applyNumberFormat="1" applyFont="1" applyBorder="1" applyAlignment="1">
      <alignment vertical="center"/>
    </xf>
    <xf numFmtId="164" fontId="14" fillId="0" borderId="101" xfId="0" applyNumberFormat="1" applyFont="1" applyBorder="1" applyAlignment="1">
      <alignment horizontal="right" vertical="center"/>
    </xf>
    <xf numFmtId="164" fontId="14" fillId="0" borderId="99" xfId="0" applyNumberFormat="1" applyFont="1" applyBorder="1" applyAlignment="1">
      <alignment horizontal="right" vertical="center"/>
    </xf>
    <xf numFmtId="164" fontId="14" fillId="0" borderId="102" xfId="0" applyNumberFormat="1" applyFont="1" applyBorder="1" applyAlignment="1">
      <alignment horizontal="right" vertical="center"/>
    </xf>
    <xf numFmtId="3" fontId="14" fillId="0" borderId="103" xfId="0" applyNumberFormat="1" applyFont="1" applyBorder="1" applyAlignment="1" applyProtection="1">
      <alignment vertical="center"/>
      <protection locked="0"/>
    </xf>
    <xf numFmtId="3" fontId="14" fillId="0" borderId="104" xfId="0" applyNumberFormat="1" applyFont="1" applyBorder="1" applyAlignment="1" applyProtection="1">
      <alignment vertical="center"/>
      <protection locked="0"/>
    </xf>
    <xf numFmtId="3" fontId="14" fillId="0" borderId="105" xfId="0" applyNumberFormat="1" applyFont="1" applyBorder="1" applyAlignment="1" applyProtection="1">
      <alignment vertical="center"/>
      <protection locked="0"/>
    </xf>
    <xf numFmtId="3" fontId="14" fillId="0" borderId="106" xfId="0" applyNumberFormat="1" applyFont="1" applyBorder="1" applyAlignment="1" applyProtection="1">
      <alignment vertical="center"/>
      <protection locked="0"/>
    </xf>
    <xf numFmtId="164" fontId="14" fillId="0" borderId="107" xfId="0" applyNumberFormat="1" applyFont="1" applyBorder="1" applyAlignment="1">
      <alignment horizontal="right" vertical="center"/>
    </xf>
    <xf numFmtId="164" fontId="14" fillId="0" borderId="108" xfId="0" applyNumberFormat="1" applyFont="1" applyBorder="1" applyAlignment="1">
      <alignment horizontal="right" vertical="center"/>
    </xf>
    <xf numFmtId="164" fontId="14" fillId="0" borderId="109" xfId="0" applyNumberFormat="1" applyFont="1" applyBorder="1" applyAlignment="1">
      <alignment horizontal="right" vertical="center"/>
    </xf>
    <xf numFmtId="3" fontId="14" fillId="0" borderId="110" xfId="0" applyNumberFormat="1" applyFont="1" applyBorder="1" applyAlignment="1" applyProtection="1">
      <alignment vertical="center"/>
      <protection locked="0"/>
    </xf>
    <xf numFmtId="3" fontId="14" fillId="0" borderId="111" xfId="0" applyNumberFormat="1" applyFont="1" applyBorder="1" applyAlignment="1" applyProtection="1">
      <alignment vertical="center"/>
      <protection locked="0"/>
    </xf>
    <xf numFmtId="3" fontId="14" fillId="0" borderId="112" xfId="0" applyNumberFormat="1" applyFont="1" applyBorder="1" applyAlignment="1" applyProtection="1">
      <alignment vertical="center"/>
      <protection locked="0"/>
    </xf>
    <xf numFmtId="3" fontId="14" fillId="0" borderId="113" xfId="0" applyNumberFormat="1" applyFont="1" applyBorder="1" applyAlignment="1" applyProtection="1">
      <alignment vertical="center"/>
      <protection locked="0"/>
    </xf>
    <xf numFmtId="164" fontId="14" fillId="0" borderId="114" xfId="0" applyNumberFormat="1" applyFont="1" applyBorder="1" applyAlignment="1">
      <alignment horizontal="right" vertical="center"/>
    </xf>
    <xf numFmtId="164" fontId="14" fillId="0" borderId="115" xfId="0" applyNumberFormat="1" applyFont="1" applyBorder="1" applyAlignment="1">
      <alignment horizontal="right" vertical="center"/>
    </xf>
    <xf numFmtId="164" fontId="14" fillId="0" borderId="116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0" borderId="3" xfId="0" applyFont="1" applyBorder="1" applyAlignment="1" applyProtection="1">
      <alignment vertical="center"/>
      <protection locked="0"/>
    </xf>
    <xf numFmtId="3" fontId="14" fillId="0" borderId="117" xfId="0" applyNumberFormat="1" applyFont="1" applyBorder="1" applyAlignment="1" applyProtection="1">
      <alignment vertical="center"/>
      <protection locked="0"/>
    </xf>
    <xf numFmtId="3" fontId="14" fillId="0" borderId="118" xfId="0" applyNumberFormat="1" applyFont="1" applyBorder="1" applyAlignment="1" applyProtection="1">
      <alignment vertical="center"/>
      <protection locked="0"/>
    </xf>
    <xf numFmtId="3" fontId="14" fillId="0" borderId="119" xfId="0" applyNumberFormat="1" applyFont="1" applyBorder="1" applyAlignment="1" applyProtection="1">
      <alignment vertical="center"/>
      <protection locked="0"/>
    </xf>
    <xf numFmtId="3" fontId="14" fillId="0" borderId="120" xfId="0" applyNumberFormat="1" applyFont="1" applyBorder="1" applyAlignment="1" applyProtection="1">
      <alignment vertical="center"/>
      <protection locked="0"/>
    </xf>
    <xf numFmtId="164" fontId="14" fillId="0" borderId="121" xfId="0" applyNumberFormat="1" applyFont="1" applyBorder="1" applyAlignment="1">
      <alignment horizontal="right" vertical="center"/>
    </xf>
    <xf numFmtId="164" fontId="14" fillId="0" borderId="122" xfId="0" applyNumberFormat="1" applyFont="1" applyBorder="1" applyAlignment="1">
      <alignment horizontal="right" vertical="center"/>
    </xf>
    <xf numFmtId="164" fontId="14" fillId="0" borderId="123" xfId="0" applyNumberFormat="1" applyFont="1" applyBorder="1" applyAlignment="1">
      <alignment horizontal="right" vertical="center"/>
    </xf>
    <xf numFmtId="0" fontId="10" fillId="0" borderId="66" xfId="0" applyFont="1" applyBorder="1" applyAlignment="1">
      <alignment vertical="center"/>
    </xf>
    <xf numFmtId="0" fontId="14" fillId="0" borderId="60" xfId="0" applyFont="1" applyBorder="1" applyAlignment="1">
      <alignment horizontal="right" vertical="center"/>
    </xf>
    <xf numFmtId="3" fontId="14" fillId="0" borderId="124" xfId="0" applyNumberFormat="1" applyFont="1" applyBorder="1" applyAlignment="1">
      <alignment vertical="center"/>
    </xf>
    <xf numFmtId="3" fontId="14" fillId="0" borderId="47" xfId="0" applyNumberFormat="1" applyFont="1" applyBorder="1" applyAlignment="1">
      <alignment vertical="center"/>
    </xf>
    <xf numFmtId="0" fontId="14" fillId="0" borderId="3" xfId="0" applyFont="1" applyBorder="1" applyAlignment="1" applyProtection="1">
      <alignment horizontal="left" vertical="center" wrapText="1" indent="1"/>
      <protection locked="0"/>
    </xf>
    <xf numFmtId="3" fontId="14" fillId="0" borderId="125" xfId="0" applyNumberFormat="1" applyFont="1" applyBorder="1" applyAlignment="1" applyProtection="1">
      <alignment vertical="center"/>
      <protection locked="0"/>
    </xf>
    <xf numFmtId="3" fontId="14" fillId="0" borderId="126" xfId="0" applyNumberFormat="1" applyFont="1" applyBorder="1" applyAlignment="1" applyProtection="1">
      <alignment vertical="center"/>
      <protection locked="0"/>
    </xf>
    <xf numFmtId="3" fontId="14" fillId="0" borderId="22" xfId="0" applyNumberFormat="1" applyFont="1" applyBorder="1" applyAlignment="1" applyProtection="1">
      <alignment vertical="center"/>
      <protection locked="0"/>
    </xf>
    <xf numFmtId="3" fontId="14" fillId="0" borderId="127" xfId="0" applyNumberFormat="1" applyFont="1" applyBorder="1" applyAlignment="1" applyProtection="1">
      <alignment vertical="center"/>
      <protection locked="0"/>
    </xf>
    <xf numFmtId="164" fontId="14" fillId="0" borderId="128" xfId="0" applyNumberFormat="1" applyFon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164" fontId="14" fillId="0" borderId="129" xfId="0" applyNumberFormat="1" applyFont="1" applyBorder="1" applyAlignment="1">
      <alignment horizontal="right" vertical="center"/>
    </xf>
    <xf numFmtId="3" fontId="14" fillId="0" borderId="31" xfId="0" applyNumberFormat="1" applyFont="1" applyBorder="1" applyAlignment="1" applyProtection="1">
      <alignment vertical="center"/>
      <protection locked="0"/>
    </xf>
    <xf numFmtId="3" fontId="14" fillId="0" borderId="83" xfId="0" applyNumberFormat="1" applyFont="1" applyBorder="1" applyAlignment="1" applyProtection="1">
      <alignment vertical="center"/>
      <protection locked="0"/>
    </xf>
    <xf numFmtId="3" fontId="14" fillId="0" borderId="84" xfId="0" applyNumberFormat="1" applyFont="1" applyBorder="1" applyAlignment="1" applyProtection="1">
      <alignment vertical="center"/>
      <protection locked="0"/>
    </xf>
    <xf numFmtId="3" fontId="14" fillId="0" borderId="85" xfId="0" applyNumberFormat="1" applyFont="1" applyBorder="1" applyAlignment="1" applyProtection="1">
      <alignment vertical="center"/>
      <protection locked="0"/>
    </xf>
    <xf numFmtId="3" fontId="14" fillId="0" borderId="86" xfId="0" applyNumberFormat="1" applyFont="1" applyBorder="1" applyAlignment="1" applyProtection="1">
      <alignment vertical="center"/>
      <protection locked="0"/>
    </xf>
    <xf numFmtId="3" fontId="14" fillId="0" borderId="97" xfId="0" applyNumberFormat="1" applyFont="1" applyBorder="1" applyAlignment="1" applyProtection="1">
      <alignment vertical="center"/>
      <protection locked="0"/>
    </xf>
    <xf numFmtId="3" fontId="14" fillId="0" borderId="98" xfId="0" applyNumberFormat="1" applyFont="1" applyBorder="1" applyAlignment="1" applyProtection="1">
      <alignment vertical="center"/>
      <protection locked="0"/>
    </xf>
    <xf numFmtId="3" fontId="14" fillId="0" borderId="100" xfId="0" applyNumberFormat="1" applyFont="1" applyBorder="1" applyAlignment="1" applyProtection="1">
      <alignment vertical="center"/>
      <protection locked="0"/>
    </xf>
    <xf numFmtId="3" fontId="14" fillId="0" borderId="130" xfId="0" applyNumberFormat="1" applyFont="1" applyBorder="1" applyAlignment="1" applyProtection="1">
      <alignment vertical="center"/>
      <protection locked="0"/>
    </xf>
    <xf numFmtId="3" fontId="14" fillId="0" borderId="131" xfId="0" applyNumberFormat="1" applyFont="1" applyBorder="1" applyAlignment="1" applyProtection="1">
      <alignment vertical="center"/>
      <protection locked="0"/>
    </xf>
    <xf numFmtId="3" fontId="14" fillId="0" borderId="28" xfId="0" applyNumberFormat="1" applyFont="1" applyBorder="1" applyAlignment="1" applyProtection="1">
      <alignment vertical="center"/>
      <protection locked="0"/>
    </xf>
    <xf numFmtId="3" fontId="14" fillId="0" borderId="36" xfId="0" applyNumberFormat="1" applyFont="1" applyBorder="1" applyAlignment="1" applyProtection="1">
      <alignment vertical="center"/>
      <protection locked="0"/>
    </xf>
    <xf numFmtId="3" fontId="14" fillId="0" borderId="132" xfId="0" applyNumberFormat="1" applyFont="1" applyBorder="1" applyAlignment="1" applyProtection="1">
      <alignment vertical="center"/>
      <protection locked="0"/>
    </xf>
    <xf numFmtId="3" fontId="14" fillId="0" borderId="37" xfId="0" applyNumberFormat="1" applyFont="1" applyBorder="1" applyAlignment="1" applyProtection="1">
      <alignment vertical="center"/>
      <protection locked="0"/>
    </xf>
    <xf numFmtId="3" fontId="14" fillId="0" borderId="38" xfId="0" applyNumberFormat="1" applyFont="1" applyBorder="1" applyAlignment="1" applyProtection="1">
      <alignment vertical="center"/>
      <protection locked="0"/>
    </xf>
    <xf numFmtId="164" fontId="14" fillId="0" borderId="133" xfId="0" applyNumberFormat="1" applyFont="1" applyBorder="1" applyAlignment="1">
      <alignment horizontal="right" vertical="center"/>
    </xf>
    <xf numFmtId="164" fontId="14" fillId="0" borderId="134" xfId="0" applyNumberFormat="1" applyFont="1" applyBorder="1" applyAlignment="1">
      <alignment horizontal="right" vertical="center"/>
    </xf>
    <xf numFmtId="164" fontId="14" fillId="0" borderId="135" xfId="0" applyNumberFormat="1" applyFont="1" applyBorder="1" applyAlignment="1">
      <alignment horizontal="right" vertical="center"/>
    </xf>
    <xf numFmtId="0" fontId="14" fillId="0" borderId="58" xfId="0" applyFont="1" applyBorder="1" applyAlignment="1">
      <alignment horizontal="center" vertical="center"/>
    </xf>
    <xf numFmtId="166" fontId="10" fillId="0" borderId="80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" fontId="10" fillId="0" borderId="7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164" fontId="10" fillId="0" borderId="80" xfId="0" applyNumberFormat="1" applyFont="1" applyBorder="1" applyAlignment="1">
      <alignment horizontal="right" vertical="center"/>
    </xf>
    <xf numFmtId="164" fontId="10" fillId="0" borderId="81" xfId="0" applyNumberFormat="1" applyFont="1" applyBorder="1" applyAlignment="1">
      <alignment horizontal="right" vertical="center"/>
    </xf>
    <xf numFmtId="164" fontId="10" fillId="0" borderId="8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3" fontId="10" fillId="0" borderId="28" xfId="0" applyNumberFormat="1" applyFont="1" applyBorder="1" applyAlignment="1" applyProtection="1">
      <alignment vertical="center"/>
      <protection locked="0"/>
    </xf>
    <xf numFmtId="3" fontId="10" fillId="0" borderId="29" xfId="0" applyNumberFormat="1" applyFont="1" applyBorder="1" applyAlignment="1" applyProtection="1">
      <alignment vertical="center"/>
      <protection locked="0"/>
    </xf>
    <xf numFmtId="3" fontId="10" fillId="0" borderId="1" xfId="0" applyNumberFormat="1" applyFont="1" applyBorder="1" applyAlignment="1" applyProtection="1">
      <alignment vertical="center"/>
      <protection locked="0"/>
    </xf>
    <xf numFmtId="3" fontId="10" fillId="0" borderId="15" xfId="0" applyNumberFormat="1" applyFont="1" applyBorder="1" applyAlignment="1" applyProtection="1">
      <alignment vertical="center"/>
      <protection locked="0"/>
    </xf>
    <xf numFmtId="166" fontId="10" fillId="0" borderId="136" xfId="0" applyNumberFormat="1" applyFont="1" applyBorder="1" applyAlignment="1">
      <alignment horizontal="right" vertical="center"/>
    </xf>
    <xf numFmtId="0" fontId="10" fillId="0" borderId="137" xfId="0" applyFont="1" applyBorder="1" applyAlignment="1">
      <alignment vertical="center"/>
    </xf>
    <xf numFmtId="3" fontId="10" fillId="0" borderId="138" xfId="0" applyNumberFormat="1" applyFont="1" applyBorder="1" applyAlignment="1">
      <alignment vertical="center"/>
    </xf>
    <xf numFmtId="3" fontId="10" fillId="0" borderId="139" xfId="0" applyNumberFormat="1" applyFont="1" applyBorder="1" applyAlignment="1">
      <alignment vertical="center"/>
    </xf>
    <xf numFmtId="3" fontId="10" fillId="0" borderId="137" xfId="0" applyNumberFormat="1" applyFont="1" applyBorder="1" applyAlignment="1">
      <alignment vertical="center"/>
    </xf>
    <xf numFmtId="3" fontId="10" fillId="0" borderId="140" xfId="0" applyNumberFormat="1" applyFont="1" applyBorder="1" applyAlignment="1">
      <alignment vertical="center"/>
    </xf>
    <xf numFmtId="164" fontId="10" fillId="0" borderId="136" xfId="0" applyNumberFormat="1" applyFont="1" applyBorder="1" applyAlignment="1">
      <alignment horizontal="right" vertical="center"/>
    </xf>
    <xf numFmtId="164" fontId="10" fillId="0" borderId="141" xfId="0" applyNumberFormat="1" applyFont="1" applyBorder="1" applyAlignment="1">
      <alignment horizontal="right" vertical="center"/>
    </xf>
    <xf numFmtId="164" fontId="10" fillId="0" borderId="142" xfId="0" applyNumberFormat="1" applyFont="1" applyBorder="1" applyAlignment="1">
      <alignment horizontal="right" vertical="center"/>
    </xf>
    <xf numFmtId="0" fontId="25" fillId="0" borderId="0" xfId="4" applyAlignment="1">
      <alignment vertical="center"/>
    </xf>
    <xf numFmtId="0" fontId="27" fillId="0" borderId="0" xfId="4" applyFont="1" applyAlignment="1" applyProtection="1">
      <alignment horizontal="left" vertical="center"/>
      <protection locked="0"/>
    </xf>
    <xf numFmtId="0" fontId="28" fillId="0" borderId="0" xfId="4" applyFont="1" applyAlignment="1" applyProtection="1">
      <alignment horizontal="left" vertical="center"/>
      <protection locked="0"/>
    </xf>
    <xf numFmtId="0" fontId="29" fillId="0" borderId="0" xfId="4" applyFont="1" applyAlignment="1" applyProtection="1">
      <alignment horizontal="left" vertical="center"/>
      <protection locked="0"/>
    </xf>
    <xf numFmtId="0" fontId="25" fillId="0" borderId="0" xfId="4"/>
    <xf numFmtId="49" fontId="30" fillId="0" borderId="0" xfId="4" applyNumberFormat="1" applyFont="1" applyAlignment="1">
      <alignment horizontal="center"/>
    </xf>
    <xf numFmtId="49" fontId="30" fillId="0" borderId="0" xfId="4" applyNumberFormat="1" applyFont="1"/>
    <xf numFmtId="0" fontId="25" fillId="0" borderId="0" xfId="4" applyAlignment="1">
      <alignment horizontal="center"/>
    </xf>
    <xf numFmtId="49" fontId="28" fillId="0" borderId="0" xfId="4" applyNumberFormat="1" applyFont="1" applyAlignment="1">
      <alignment horizontal="centerContinuous"/>
    </xf>
    <xf numFmtId="49" fontId="31" fillId="0" borderId="0" xfId="4" applyNumberFormat="1" applyFont="1" applyAlignment="1">
      <alignment horizontal="centerContinuous" wrapText="1"/>
    </xf>
    <xf numFmtId="3" fontId="32" fillId="0" borderId="0" xfId="4" applyNumberFormat="1" applyFont="1" applyAlignment="1">
      <alignment horizontal="centerContinuous"/>
    </xf>
    <xf numFmtId="167" fontId="25" fillId="0" borderId="0" xfId="4" applyNumberFormat="1" applyAlignment="1">
      <alignment horizontal="centerContinuous"/>
    </xf>
    <xf numFmtId="167" fontId="25" fillId="0" borderId="0" xfId="4" applyNumberFormat="1"/>
    <xf numFmtId="49" fontId="32" fillId="0" borderId="0" xfId="4" applyNumberFormat="1" applyFont="1" applyAlignment="1">
      <alignment horizontal="right"/>
    </xf>
    <xf numFmtId="0" fontId="33" fillId="0" borderId="0" xfId="4" applyFont="1" applyAlignment="1">
      <alignment horizontal="left" vertical="top"/>
    </xf>
    <xf numFmtId="0" fontId="28" fillId="0" borderId="0" xfId="4" applyFont="1"/>
    <xf numFmtId="0" fontId="25" fillId="0" borderId="0" xfId="4" applyAlignment="1">
      <alignment horizontal="left" wrapText="1"/>
    </xf>
    <xf numFmtId="3" fontId="25" fillId="0" borderId="0" xfId="4" applyNumberFormat="1"/>
    <xf numFmtId="49" fontId="25" fillId="0" borderId="0" xfId="4" applyNumberFormat="1" applyAlignment="1">
      <alignment horizontal="right"/>
    </xf>
    <xf numFmtId="0" fontId="29" fillId="0" borderId="0" xfId="4" applyFont="1" applyAlignment="1">
      <alignment vertical="center"/>
    </xf>
    <xf numFmtId="0" fontId="28" fillId="0" borderId="0" xfId="4" applyFont="1" applyAlignment="1">
      <alignment vertical="center"/>
    </xf>
    <xf numFmtId="3" fontId="28" fillId="0" borderId="1" xfId="4" applyNumberFormat="1" applyFont="1" applyBorder="1" applyAlignment="1">
      <alignment horizontal="centerContinuous" vertical="center"/>
    </xf>
    <xf numFmtId="167" fontId="28" fillId="0" borderId="1" xfId="4" applyNumberFormat="1" applyFont="1" applyBorder="1" applyAlignment="1">
      <alignment horizontal="centerContinuous" vertical="center"/>
    </xf>
    <xf numFmtId="167" fontId="28" fillId="0" borderId="82" xfId="4" applyNumberFormat="1" applyFont="1" applyBorder="1" applyAlignment="1">
      <alignment horizontal="centerContinuous" vertical="center"/>
    </xf>
    <xf numFmtId="49" fontId="28" fillId="0" borderId="146" xfId="4" applyNumberFormat="1" applyFont="1" applyBorder="1" applyAlignment="1">
      <alignment horizontal="center" vertical="center"/>
    </xf>
    <xf numFmtId="49" fontId="28" fillId="0" borderId="1" xfId="4" applyNumberFormat="1" applyFont="1" applyBorder="1" applyAlignment="1">
      <alignment horizontal="center" vertical="center"/>
    </xf>
    <xf numFmtId="49" fontId="28" fillId="0" borderId="42" xfId="4" applyNumberFormat="1" applyFont="1" applyBorder="1" applyAlignment="1">
      <alignment horizontal="center" vertical="center"/>
    </xf>
    <xf numFmtId="1" fontId="35" fillId="0" borderId="133" xfId="4" applyNumberFormat="1" applyFont="1" applyBorder="1" applyAlignment="1">
      <alignment horizontal="center" vertical="center"/>
    </xf>
    <xf numFmtId="1" fontId="35" fillId="0" borderId="38" xfId="4" applyNumberFormat="1" applyFont="1" applyBorder="1" applyAlignment="1">
      <alignment horizontal="center" vertical="center"/>
    </xf>
    <xf numFmtId="1" fontId="35" fillId="0" borderId="132" xfId="4" applyNumberFormat="1" applyFont="1" applyBorder="1" applyAlignment="1">
      <alignment horizontal="center" vertical="center"/>
    </xf>
    <xf numFmtId="3" fontId="35" fillId="0" borderId="37" xfId="4" applyNumberFormat="1" applyFont="1" applyBorder="1" applyAlignment="1">
      <alignment horizontal="center" vertical="center"/>
    </xf>
    <xf numFmtId="1" fontId="35" fillId="0" borderId="37" xfId="4" applyNumberFormat="1" applyFont="1" applyBorder="1" applyAlignment="1">
      <alignment horizontal="center" vertical="center"/>
    </xf>
    <xf numFmtId="1" fontId="35" fillId="0" borderId="135" xfId="4" applyNumberFormat="1" applyFont="1" applyBorder="1" applyAlignment="1">
      <alignment horizontal="center" vertical="center"/>
    </xf>
    <xf numFmtId="1" fontId="35" fillId="0" borderId="147" xfId="4" applyNumberFormat="1" applyFont="1" applyBorder="1" applyAlignment="1">
      <alignment horizontal="center" vertical="center"/>
    </xf>
    <xf numFmtId="1" fontId="35" fillId="0" borderId="39" xfId="4" applyNumberFormat="1" applyFont="1" applyBorder="1" applyAlignment="1">
      <alignment horizontal="center" vertical="center"/>
    </xf>
    <xf numFmtId="1" fontId="35" fillId="0" borderId="0" xfId="4" applyNumberFormat="1" applyFont="1" applyAlignment="1">
      <alignment horizontal="center" vertical="center"/>
    </xf>
    <xf numFmtId="0" fontId="25" fillId="0" borderId="148" xfId="4" applyBorder="1" applyAlignment="1">
      <alignment horizontal="center" vertical="center"/>
    </xf>
    <xf numFmtId="49" fontId="28" fillId="0" borderId="81" xfId="4" applyNumberFormat="1" applyFont="1" applyBorder="1" applyAlignment="1">
      <alignment horizontal="centerContinuous" vertical="center"/>
    </xf>
    <xf numFmtId="49" fontId="36" fillId="0" borderId="81" xfId="4" applyNumberFormat="1" applyFont="1" applyBorder="1" applyAlignment="1">
      <alignment horizontal="left" vertical="center" wrapText="1"/>
    </xf>
    <xf numFmtId="0" fontId="28" fillId="0" borderId="16" xfId="4" applyFont="1" applyBorder="1" applyAlignment="1">
      <alignment horizontal="center"/>
    </xf>
    <xf numFmtId="167" fontId="37" fillId="0" borderId="150" xfId="4" applyNumberFormat="1" applyFont="1" applyBorder="1" applyAlignment="1">
      <alignment horizontal="right" vertical="center"/>
    </xf>
    <xf numFmtId="167" fontId="37" fillId="0" borderId="3" xfId="4" applyNumberFormat="1" applyFont="1" applyBorder="1" applyAlignment="1">
      <alignment horizontal="right" vertical="center"/>
    </xf>
    <xf numFmtId="167" fontId="37" fillId="0" borderId="151" xfId="4" applyNumberFormat="1" applyFont="1" applyBorder="1" applyAlignment="1">
      <alignment horizontal="right" vertical="center"/>
    </xf>
    <xf numFmtId="0" fontId="38" fillId="0" borderId="0" xfId="4" applyFont="1" applyAlignment="1">
      <alignment vertical="center"/>
    </xf>
    <xf numFmtId="165" fontId="39" fillId="0" borderId="80" xfId="4" applyNumberFormat="1" applyFont="1" applyBorder="1" applyAlignment="1">
      <alignment horizontal="center" vertical="center"/>
    </xf>
    <xf numFmtId="49" fontId="40" fillId="0" borderId="15" xfId="4" applyNumberFormat="1" applyFont="1" applyBorder="1" applyAlignment="1">
      <alignment horizontal="center" vertical="center"/>
    </xf>
    <xf numFmtId="0" fontId="41" fillId="0" borderId="29" xfId="4" applyFont="1" applyBorder="1" applyAlignment="1">
      <alignment horizontal="left" vertical="center"/>
    </xf>
    <xf numFmtId="3" fontId="40" fillId="0" borderId="1" xfId="4" applyNumberFormat="1" applyFont="1" applyBorder="1" applyAlignment="1" applyProtection="1">
      <alignment horizontal="right" vertical="center"/>
      <protection locked="0"/>
    </xf>
    <xf numFmtId="167" fontId="40" fillId="0" borderId="1" xfId="4" applyNumberFormat="1" applyFont="1" applyBorder="1" applyAlignment="1">
      <alignment horizontal="right" vertical="center"/>
    </xf>
    <xf numFmtId="167" fontId="40" fillId="0" borderId="82" xfId="4" applyNumberFormat="1" applyFont="1" applyBorder="1" applyAlignment="1">
      <alignment horizontal="right" vertical="center"/>
    </xf>
    <xf numFmtId="167" fontId="40" fillId="0" borderId="148" xfId="4" applyNumberFormat="1" applyFont="1" applyBorder="1" applyAlignment="1">
      <alignment horizontal="right" vertical="center"/>
    </xf>
    <xf numFmtId="167" fontId="40" fillId="0" borderId="17" xfId="4" applyNumberFormat="1" applyFont="1" applyBorder="1" applyAlignment="1">
      <alignment horizontal="right" vertical="center"/>
    </xf>
    <xf numFmtId="0" fontId="42" fillId="0" borderId="0" xfId="4" applyFont="1" applyAlignment="1">
      <alignment vertical="center"/>
    </xf>
    <xf numFmtId="0" fontId="40" fillId="0" borderId="0" xfId="4" applyFont="1" applyAlignment="1">
      <alignment vertical="center"/>
    </xf>
    <xf numFmtId="165" fontId="32" fillId="0" borderId="80" xfId="4" applyNumberFormat="1" applyFont="1" applyBorder="1" applyAlignment="1">
      <alignment horizontal="center" vertical="center"/>
    </xf>
    <xf numFmtId="49" fontId="32" fillId="0" borderId="15" xfId="4" applyNumberFormat="1" applyFont="1" applyBorder="1" applyAlignment="1">
      <alignment horizontal="center" vertical="center"/>
    </xf>
    <xf numFmtId="0" fontId="19" fillId="0" borderId="29" xfId="4" applyFont="1" applyBorder="1" applyAlignment="1">
      <alignment horizontal="left" vertical="center" wrapText="1" indent="2"/>
    </xf>
    <xf numFmtId="3" fontId="32" fillId="9" borderId="1" xfId="4" applyNumberFormat="1" applyFont="1" applyFill="1" applyBorder="1" applyAlignment="1" applyProtection="1">
      <alignment horizontal="right" vertical="center"/>
      <protection locked="0"/>
    </xf>
    <xf numFmtId="167" fontId="32" fillId="0" borderId="1" xfId="4" applyNumberFormat="1" applyFont="1" applyBorder="1" applyAlignment="1">
      <alignment horizontal="right" vertical="center"/>
    </xf>
    <xf numFmtId="3" fontId="32" fillId="0" borderId="1" xfId="4" applyNumberFormat="1" applyFont="1" applyBorder="1" applyAlignment="1">
      <alignment horizontal="right" vertical="center"/>
    </xf>
    <xf numFmtId="3" fontId="32" fillId="0" borderId="1" xfId="0" applyNumberFormat="1" applyFont="1" applyBorder="1" applyAlignment="1">
      <alignment horizontal="right" vertical="center"/>
    </xf>
    <xf numFmtId="3" fontId="37" fillId="10" borderId="1" xfId="0" applyNumberFormat="1" applyFont="1" applyFill="1" applyBorder="1" applyAlignment="1">
      <alignment horizontal="right" vertical="center"/>
    </xf>
    <xf numFmtId="167" fontId="32" fillId="0" borderId="82" xfId="4" applyNumberFormat="1" applyFont="1" applyBorder="1" applyAlignment="1">
      <alignment horizontal="right" vertical="center"/>
    </xf>
    <xf numFmtId="167" fontId="32" fillId="0" borderId="148" xfId="4" applyNumberFormat="1" applyFont="1" applyBorder="1" applyAlignment="1">
      <alignment horizontal="right" vertical="center"/>
    </xf>
    <xf numFmtId="167" fontId="32" fillId="0" borderId="17" xfId="4" applyNumberFormat="1" applyFont="1" applyBorder="1" applyAlignment="1">
      <alignment horizontal="right" vertical="center"/>
    </xf>
    <xf numFmtId="165" fontId="32" fillId="0" borderId="56" xfId="4" applyNumberFormat="1" applyFont="1" applyBorder="1" applyAlignment="1">
      <alignment horizontal="center" vertical="center"/>
    </xf>
    <xf numFmtId="49" fontId="32" fillId="0" borderId="44" xfId="4" applyNumberFormat="1" applyFont="1" applyBorder="1" applyAlignment="1">
      <alignment horizontal="center" vertical="center"/>
    </xf>
    <xf numFmtId="0" fontId="19" fillId="0" borderId="152" xfId="4" applyFont="1" applyBorder="1" applyAlignment="1">
      <alignment horizontal="left" vertical="center" wrapText="1" indent="2"/>
    </xf>
    <xf numFmtId="3" fontId="32" fillId="0" borderId="2" xfId="4" applyNumberFormat="1" applyFont="1" applyBorder="1" applyAlignment="1" applyProtection="1">
      <alignment horizontal="right" vertical="center"/>
      <protection locked="0"/>
    </xf>
    <xf numFmtId="167" fontId="32" fillId="0" borderId="2" xfId="4" applyNumberFormat="1" applyFont="1" applyBorder="1" applyAlignment="1">
      <alignment horizontal="right" vertical="center"/>
    </xf>
    <xf numFmtId="3" fontId="32" fillId="0" borderId="2" xfId="4" applyNumberFormat="1" applyFont="1" applyBorder="1" applyAlignment="1">
      <alignment horizontal="right" vertical="center"/>
    </xf>
    <xf numFmtId="3" fontId="32" fillId="0" borderId="2" xfId="0" applyNumberFormat="1" applyFont="1" applyBorder="1" applyAlignment="1">
      <alignment horizontal="right" vertical="center"/>
    </xf>
    <xf numFmtId="3" fontId="37" fillId="0" borderId="2" xfId="0" applyNumberFormat="1" applyFont="1" applyBorder="1" applyAlignment="1">
      <alignment horizontal="right" vertical="center"/>
    </xf>
    <xf numFmtId="167" fontId="32" fillId="0" borderId="153" xfId="4" applyNumberFormat="1" applyFont="1" applyBorder="1" applyAlignment="1">
      <alignment horizontal="right" vertical="center"/>
    </xf>
    <xf numFmtId="167" fontId="32" fillId="0" borderId="154" xfId="4" applyNumberFormat="1" applyFont="1" applyBorder="1" applyAlignment="1">
      <alignment horizontal="right" vertical="center"/>
    </xf>
    <xf numFmtId="167" fontId="32" fillId="0" borderId="45" xfId="4" applyNumberFormat="1" applyFont="1" applyBorder="1" applyAlignment="1">
      <alignment horizontal="right" vertical="center"/>
    </xf>
    <xf numFmtId="0" fontId="32" fillId="0" borderId="0" xfId="4" applyFont="1" applyAlignment="1">
      <alignment vertical="center"/>
    </xf>
    <xf numFmtId="165" fontId="39" fillId="0" borderId="155" xfId="4" applyNumberFormat="1" applyFont="1" applyBorder="1" applyAlignment="1">
      <alignment horizontal="center" vertical="center"/>
    </xf>
    <xf numFmtId="49" fontId="39" fillId="0" borderId="156" xfId="4" applyNumberFormat="1" applyFont="1" applyBorder="1" applyAlignment="1">
      <alignment horizontal="center" vertical="center"/>
    </xf>
    <xf numFmtId="0" fontId="41" fillId="0" borderId="157" xfId="4" applyFont="1" applyBorder="1" applyAlignment="1">
      <alignment horizontal="left" vertical="center" wrapText="1"/>
    </xf>
    <xf numFmtId="3" fontId="39" fillId="0" borderId="158" xfId="4" applyNumberFormat="1" applyFont="1" applyBorder="1" applyAlignment="1">
      <alignment horizontal="right" vertical="center"/>
    </xf>
    <xf numFmtId="167" fontId="39" fillId="0" borderId="158" xfId="4" applyNumberFormat="1" applyFont="1" applyBorder="1" applyAlignment="1">
      <alignment horizontal="right" vertical="center"/>
    </xf>
    <xf numFmtId="3" fontId="39" fillId="0" borderId="156" xfId="4" applyNumberFormat="1" applyFont="1" applyBorder="1" applyAlignment="1">
      <alignment horizontal="right" vertical="center"/>
    </xf>
    <xf numFmtId="167" fontId="39" fillId="0" borderId="159" xfId="4" applyNumberFormat="1" applyFont="1" applyBorder="1" applyAlignment="1">
      <alignment horizontal="right" vertical="center"/>
    </xf>
    <xf numFmtId="167" fontId="39" fillId="0" borderId="160" xfId="4" applyNumberFormat="1" applyFont="1" applyBorder="1" applyAlignment="1">
      <alignment horizontal="right" vertical="center"/>
    </xf>
    <xf numFmtId="167" fontId="39" fillId="0" borderId="161" xfId="4" applyNumberFormat="1" applyFont="1" applyBorder="1" applyAlignment="1">
      <alignment horizontal="right" vertical="center"/>
    </xf>
    <xf numFmtId="0" fontId="39" fillId="0" borderId="0" xfId="4" applyFont="1" applyAlignment="1">
      <alignment vertical="center"/>
    </xf>
    <xf numFmtId="165" fontId="39" fillId="0" borderId="77" xfId="4" applyNumberFormat="1" applyFont="1" applyBorder="1" applyAlignment="1">
      <alignment horizontal="center" vertical="center"/>
    </xf>
    <xf numFmtId="49" fontId="40" fillId="0" borderId="41" xfId="4" applyNumberFormat="1" applyFont="1" applyBorder="1" applyAlignment="1">
      <alignment horizontal="center" vertical="center"/>
    </xf>
    <xf numFmtId="0" fontId="41" fillId="0" borderId="35" xfId="4" applyFont="1" applyBorder="1" applyAlignment="1">
      <alignment horizontal="left" vertical="center"/>
    </xf>
    <xf numFmtId="3" fontId="40" fillId="9" borderId="4" xfId="4" applyNumberFormat="1" applyFont="1" applyFill="1" applyBorder="1" applyAlignment="1" applyProtection="1">
      <alignment horizontal="right" vertical="center"/>
      <protection locked="0"/>
    </xf>
    <xf numFmtId="167" fontId="40" fillId="0" borderId="4" xfId="4" applyNumberFormat="1" applyFont="1" applyBorder="1" applyAlignment="1">
      <alignment horizontal="right" vertical="center"/>
    </xf>
    <xf numFmtId="167" fontId="32" fillId="0" borderId="4" xfId="4" applyNumberFormat="1" applyFont="1" applyBorder="1" applyAlignment="1">
      <alignment horizontal="right" vertical="center"/>
    </xf>
    <xf numFmtId="167" fontId="40" fillId="0" borderId="78" xfId="4" applyNumberFormat="1" applyFont="1" applyBorder="1" applyAlignment="1">
      <alignment horizontal="right" vertical="center"/>
    </xf>
    <xf numFmtId="167" fontId="40" fillId="0" borderId="146" xfId="4" applyNumberFormat="1" applyFont="1" applyBorder="1" applyAlignment="1">
      <alignment horizontal="right" vertical="center"/>
    </xf>
    <xf numFmtId="167" fontId="40" fillId="0" borderId="42" xfId="4" applyNumberFormat="1" applyFont="1" applyBorder="1" applyAlignment="1">
      <alignment horizontal="right" vertical="center"/>
    </xf>
    <xf numFmtId="0" fontId="43" fillId="0" borderId="0" xfId="4" applyFont="1" applyAlignment="1">
      <alignment vertical="center"/>
    </xf>
    <xf numFmtId="0" fontId="44" fillId="0" borderId="0" xfId="4" applyFont="1" applyAlignment="1">
      <alignment vertical="center"/>
    </xf>
    <xf numFmtId="3" fontId="32" fillId="0" borderId="1" xfId="4" applyNumberFormat="1" applyFont="1" applyBorder="1" applyAlignment="1" applyProtection="1">
      <alignment horizontal="right" vertical="center"/>
      <protection locked="0"/>
    </xf>
    <xf numFmtId="0" fontId="32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45" fillId="0" borderId="0" xfId="4" applyFont="1" applyAlignment="1">
      <alignment vertical="center"/>
    </xf>
    <xf numFmtId="49" fontId="37" fillId="0" borderId="44" xfId="4" applyNumberFormat="1" applyFont="1" applyBorder="1" applyAlignment="1">
      <alignment horizontal="center" vertical="center"/>
    </xf>
    <xf numFmtId="3" fontId="37" fillId="0" borderId="2" xfId="4" applyNumberFormat="1" applyFont="1" applyBorder="1" applyAlignment="1" applyProtection="1">
      <alignment horizontal="right" vertical="center"/>
      <protection locked="0"/>
    </xf>
    <xf numFmtId="167" fontId="37" fillId="0" borderId="2" xfId="4" applyNumberFormat="1" applyFont="1" applyBorder="1" applyAlignment="1">
      <alignment horizontal="right" vertical="center"/>
    </xf>
    <xf numFmtId="3" fontId="37" fillId="0" borderId="2" xfId="4" applyNumberFormat="1" applyFont="1" applyBorder="1" applyAlignment="1">
      <alignment horizontal="right" vertical="center"/>
    </xf>
    <xf numFmtId="167" fontId="37" fillId="0" borderId="153" xfId="4" applyNumberFormat="1" applyFont="1" applyBorder="1" applyAlignment="1">
      <alignment horizontal="right" vertical="center"/>
    </xf>
    <xf numFmtId="167" fontId="37" fillId="0" borderId="154" xfId="4" applyNumberFormat="1" applyFont="1" applyBorder="1" applyAlignment="1">
      <alignment horizontal="right" vertical="center"/>
    </xf>
    <xf numFmtId="167" fontId="37" fillId="0" borderId="45" xfId="4" applyNumberFormat="1" applyFont="1" applyBorder="1" applyAlignment="1">
      <alignment horizontal="right" vertical="center"/>
    </xf>
    <xf numFmtId="0" fontId="46" fillId="0" borderId="0" xfId="4" applyFont="1" applyAlignment="1">
      <alignment vertical="center"/>
    </xf>
    <xf numFmtId="165" fontId="39" fillId="0" borderId="155" xfId="4" applyNumberFormat="1" applyFont="1" applyBorder="1" applyAlignment="1">
      <alignment horizontal="center" vertical="top"/>
    </xf>
    <xf numFmtId="49" fontId="40" fillId="0" borderId="156" xfId="4" applyNumberFormat="1" applyFont="1" applyBorder="1" applyAlignment="1">
      <alignment horizontal="center" vertical="top" wrapText="1"/>
    </xf>
    <xf numFmtId="3" fontId="39" fillId="0" borderId="158" xfId="4" applyNumberFormat="1" applyFont="1" applyBorder="1" applyAlignment="1" applyProtection="1">
      <alignment horizontal="right" vertical="center"/>
      <protection locked="0"/>
    </xf>
    <xf numFmtId="167" fontId="32" fillId="0" borderId="158" xfId="4" applyNumberFormat="1" applyFont="1" applyBorder="1" applyAlignment="1">
      <alignment horizontal="right" vertical="center"/>
    </xf>
    <xf numFmtId="167" fontId="39" fillId="4" borderId="157" xfId="4" applyNumberFormat="1" applyFont="1" applyFill="1" applyBorder="1" applyAlignment="1">
      <alignment horizontal="right" vertical="center"/>
    </xf>
    <xf numFmtId="167" fontId="39" fillId="4" borderId="158" xfId="4" applyNumberFormat="1" applyFont="1" applyFill="1" applyBorder="1" applyAlignment="1">
      <alignment horizontal="right" vertical="center"/>
    </xf>
    <xf numFmtId="3" fontId="39" fillId="4" borderId="158" xfId="4" applyNumberFormat="1" applyFont="1" applyFill="1" applyBorder="1" applyAlignment="1" applyProtection="1">
      <alignment horizontal="right" vertical="center"/>
      <protection locked="0"/>
    </xf>
    <xf numFmtId="167" fontId="37" fillId="0" borderId="162" xfId="4" applyNumberFormat="1" applyFont="1" applyBorder="1" applyAlignment="1">
      <alignment horizontal="right" vertical="center"/>
    </xf>
    <xf numFmtId="167" fontId="37" fillId="0" borderId="163" xfId="4" applyNumberFormat="1" applyFont="1" applyBorder="1" applyAlignment="1">
      <alignment horizontal="right" vertical="center"/>
    </xf>
    <xf numFmtId="167" fontId="37" fillId="0" borderId="164" xfId="4" applyNumberFormat="1" applyFont="1" applyBorder="1" applyAlignment="1">
      <alignment horizontal="right" vertical="center"/>
    </xf>
    <xf numFmtId="165" fontId="40" fillId="0" borderId="165" xfId="4" applyNumberFormat="1" applyFont="1" applyBorder="1" applyAlignment="1">
      <alignment horizontal="center" vertical="center"/>
    </xf>
    <xf numFmtId="49" fontId="39" fillId="0" borderId="166" xfId="4" applyNumberFormat="1" applyFont="1" applyBorder="1" applyAlignment="1">
      <alignment horizontal="center" vertical="center"/>
    </xf>
    <xf numFmtId="0" fontId="41" fillId="0" borderId="167" xfId="4" applyFont="1" applyBorder="1" applyAlignment="1">
      <alignment horizontal="left" vertical="center"/>
    </xf>
    <xf numFmtId="3" fontId="39" fillId="0" borderId="168" xfId="4" applyNumberFormat="1" applyFont="1" applyBorder="1" applyAlignment="1">
      <alignment horizontal="right" vertical="center"/>
    </xf>
    <xf numFmtId="167" fontId="39" fillId="0" borderId="168" xfId="4" applyNumberFormat="1" applyFont="1" applyBorder="1" applyAlignment="1">
      <alignment horizontal="right" vertical="center"/>
    </xf>
    <xf numFmtId="167" fontId="39" fillId="0" borderId="169" xfId="4" applyNumberFormat="1" applyFont="1" applyBorder="1" applyAlignment="1">
      <alignment horizontal="right" vertical="center"/>
    </xf>
    <xf numFmtId="167" fontId="39" fillId="0" borderId="170" xfId="4" applyNumberFormat="1" applyFont="1" applyBorder="1" applyAlignment="1">
      <alignment horizontal="right" vertical="center"/>
    </xf>
    <xf numFmtId="167" fontId="39" fillId="0" borderId="171" xfId="4" applyNumberFormat="1" applyFont="1" applyBorder="1" applyAlignment="1">
      <alignment horizontal="right" vertical="center"/>
    </xf>
    <xf numFmtId="165" fontId="40" fillId="0" borderId="121" xfId="4" applyNumberFormat="1" applyFont="1" applyBorder="1" applyAlignment="1">
      <alignment horizontal="center" vertical="center"/>
    </xf>
    <xf numFmtId="49" fontId="39" fillId="0" borderId="120" xfId="4" applyNumberFormat="1" applyFont="1" applyBorder="1" applyAlignment="1">
      <alignment horizontal="center" vertical="center"/>
    </xf>
    <xf numFmtId="0" fontId="41" fillId="0" borderId="118" xfId="4" applyFont="1" applyBorder="1" applyAlignment="1">
      <alignment horizontal="left" vertical="center"/>
    </xf>
    <xf numFmtId="3" fontId="39" fillId="0" borderId="119" xfId="4" applyNumberFormat="1" applyFont="1" applyBorder="1" applyAlignment="1">
      <alignment horizontal="right" vertical="center"/>
    </xf>
    <xf numFmtId="167" fontId="39" fillId="0" borderId="119" xfId="4" applyNumberFormat="1" applyFont="1" applyBorder="1" applyAlignment="1">
      <alignment horizontal="right" vertical="center"/>
    </xf>
    <xf numFmtId="3" fontId="39" fillId="0" borderId="119" xfId="0" applyNumberFormat="1" applyFont="1" applyBorder="1" applyAlignment="1">
      <alignment horizontal="right" vertical="center"/>
    </xf>
    <xf numFmtId="0" fontId="39" fillId="0" borderId="119" xfId="0" applyFont="1" applyBorder="1" applyAlignment="1">
      <alignment horizontal="right" vertical="center"/>
    </xf>
    <xf numFmtId="167" fontId="39" fillId="0" borderId="123" xfId="4" applyNumberFormat="1" applyFont="1" applyBorder="1" applyAlignment="1">
      <alignment horizontal="right" vertical="center"/>
    </xf>
    <xf numFmtId="167" fontId="39" fillId="0" borderId="172" xfId="4" applyNumberFormat="1" applyFont="1" applyBorder="1" applyAlignment="1">
      <alignment horizontal="right" vertical="center"/>
    </xf>
    <xf numFmtId="167" fontId="39" fillId="0" borderId="173" xfId="4" applyNumberFormat="1" applyFont="1" applyBorder="1" applyAlignment="1">
      <alignment horizontal="right" vertical="center"/>
    </xf>
    <xf numFmtId="165" fontId="40" fillId="0" borderId="24" xfId="4" applyNumberFormat="1" applyFont="1" applyBorder="1" applyAlignment="1">
      <alignment horizontal="center" vertical="center"/>
    </xf>
    <xf numFmtId="49" fontId="39" fillId="0" borderId="24" xfId="4" applyNumberFormat="1" applyFont="1" applyBorder="1" applyAlignment="1">
      <alignment horizontal="center" vertical="center"/>
    </xf>
    <xf numFmtId="0" fontId="41" fillId="0" borderId="24" xfId="4" applyFont="1" applyBorder="1" applyAlignment="1">
      <alignment horizontal="left" vertical="center"/>
    </xf>
    <xf numFmtId="3" fontId="39" fillId="0" borderId="24" xfId="4" applyNumberFormat="1" applyFont="1" applyBorder="1" applyAlignment="1">
      <alignment horizontal="right" vertical="center"/>
    </xf>
    <xf numFmtId="167" fontId="39" fillId="0" borderId="24" xfId="4" applyNumberFormat="1" applyFont="1" applyBorder="1" applyAlignment="1">
      <alignment horizontal="right" vertical="center"/>
    </xf>
    <xf numFmtId="165" fontId="47" fillId="0" borderId="0" xfId="4" applyNumberFormat="1" applyFont="1" applyAlignment="1">
      <alignment horizontal="left" vertical="center"/>
    </xf>
    <xf numFmtId="49" fontId="39" fillId="0" borderId="0" xfId="4" applyNumberFormat="1" applyFont="1" applyAlignment="1">
      <alignment horizontal="center" vertical="center"/>
    </xf>
    <xf numFmtId="0" fontId="41" fillId="0" borderId="0" xfId="4" applyFont="1" applyAlignment="1">
      <alignment horizontal="left" vertical="center"/>
    </xf>
    <xf numFmtId="3" fontId="39" fillId="0" borderId="0" xfId="4" applyNumberFormat="1" applyFont="1" applyAlignment="1">
      <alignment horizontal="right" vertical="center"/>
    </xf>
    <xf numFmtId="167" fontId="39" fillId="0" borderId="0" xfId="4" applyNumberFormat="1" applyFont="1" applyAlignment="1">
      <alignment horizontal="right" vertical="center"/>
    </xf>
    <xf numFmtId="0" fontId="25" fillId="0" borderId="174" xfId="4" applyBorder="1" applyAlignment="1">
      <alignment horizontal="center" vertical="center"/>
    </xf>
    <xf numFmtId="49" fontId="28" fillId="0" borderId="16" xfId="4" applyNumberFormat="1" applyFont="1" applyBorder="1" applyAlignment="1">
      <alignment horizontal="centerContinuous" vertical="center"/>
    </xf>
    <xf numFmtId="49" fontId="36" fillId="0" borderId="16" xfId="4" applyNumberFormat="1" applyFont="1" applyBorder="1" applyAlignment="1">
      <alignment horizontal="left" vertical="center" wrapText="1"/>
    </xf>
    <xf numFmtId="167" fontId="32" fillId="0" borderId="174" xfId="4" applyNumberFormat="1" applyFont="1" applyBorder="1" applyAlignment="1">
      <alignment horizontal="right" vertical="center"/>
    </xf>
    <xf numFmtId="167" fontId="32" fillId="0" borderId="22" xfId="4" applyNumberFormat="1" applyFont="1" applyBorder="1" applyAlignment="1">
      <alignment horizontal="right" vertical="center"/>
    </xf>
    <xf numFmtId="167" fontId="32" fillId="0" borderId="23" xfId="4" applyNumberFormat="1" applyFont="1" applyBorder="1" applyAlignment="1">
      <alignment horizontal="right" vertical="center"/>
    </xf>
    <xf numFmtId="0" fontId="41" fillId="0" borderId="29" xfId="4" applyFont="1" applyBorder="1" applyAlignment="1">
      <alignment horizontal="left" vertical="center" wrapText="1"/>
    </xf>
    <xf numFmtId="0" fontId="48" fillId="0" borderId="0" xfId="4" applyFont="1" applyAlignment="1">
      <alignment vertical="center"/>
    </xf>
    <xf numFmtId="0" fontId="37" fillId="10" borderId="1" xfId="0" applyFont="1" applyFill="1" applyBorder="1" applyAlignment="1">
      <alignment horizontal="right" vertical="center"/>
    </xf>
    <xf numFmtId="3" fontId="32" fillId="9" borderId="2" xfId="4" applyNumberFormat="1" applyFont="1" applyFill="1" applyBorder="1" applyAlignment="1" applyProtection="1">
      <alignment horizontal="right" vertical="center"/>
      <protection locked="0"/>
    </xf>
    <xf numFmtId="49" fontId="40" fillId="0" borderId="156" xfId="4" applyNumberFormat="1" applyFont="1" applyBorder="1" applyAlignment="1">
      <alignment horizontal="center" vertical="center"/>
    </xf>
    <xf numFmtId="0" fontId="41" fillId="0" borderId="157" xfId="4" applyFont="1" applyBorder="1" applyAlignment="1">
      <alignment horizontal="left" vertical="center"/>
    </xf>
    <xf numFmtId="3" fontId="40" fillId="9" borderId="158" xfId="4" applyNumberFormat="1" applyFont="1" applyFill="1" applyBorder="1" applyAlignment="1">
      <alignment horizontal="right" vertical="center"/>
    </xf>
    <xf numFmtId="167" fontId="40" fillId="0" borderId="158" xfId="4" applyNumberFormat="1" applyFont="1" applyBorder="1" applyAlignment="1">
      <alignment horizontal="right" vertical="center"/>
    </xf>
    <xf numFmtId="3" fontId="40" fillId="0" borderId="158" xfId="4" applyNumberFormat="1" applyFont="1" applyBorder="1" applyAlignment="1">
      <alignment horizontal="right" vertical="center"/>
    </xf>
    <xf numFmtId="167" fontId="40" fillId="0" borderId="159" xfId="4" applyNumberFormat="1" applyFont="1" applyBorder="1" applyAlignment="1">
      <alignment horizontal="right" vertical="center"/>
    </xf>
    <xf numFmtId="167" fontId="40" fillId="0" borderId="160" xfId="4" applyNumberFormat="1" applyFont="1" applyBorder="1" applyAlignment="1">
      <alignment horizontal="right" vertical="center"/>
    </xf>
    <xf numFmtId="167" fontId="40" fillId="0" borderId="161" xfId="4" applyNumberFormat="1" applyFont="1" applyBorder="1" applyAlignment="1">
      <alignment horizontal="right" vertical="center"/>
    </xf>
    <xf numFmtId="3" fontId="39" fillId="0" borderId="158" xfId="0" applyNumberFormat="1" applyFont="1" applyBorder="1" applyAlignment="1">
      <alignment horizontal="right" vertical="center"/>
    </xf>
    <xf numFmtId="3" fontId="40" fillId="4" borderId="158" xfId="4" applyNumberFormat="1" applyFont="1" applyFill="1" applyBorder="1" applyAlignment="1">
      <alignment horizontal="right" vertical="center"/>
    </xf>
    <xf numFmtId="165" fontId="32" fillId="0" borderId="50" xfId="4" applyNumberFormat="1" applyFont="1" applyBorder="1" applyAlignment="1">
      <alignment horizontal="center" vertical="center"/>
    </xf>
    <xf numFmtId="49" fontId="39" fillId="0" borderId="175" xfId="4" applyNumberFormat="1" applyFont="1" applyBorder="1" applyAlignment="1">
      <alignment horizontal="center" vertical="center"/>
    </xf>
    <xf numFmtId="0" fontId="41" fillId="0" borderId="176" xfId="4" applyFont="1" applyBorder="1" applyAlignment="1">
      <alignment horizontal="left" vertical="center"/>
    </xf>
    <xf numFmtId="3" fontId="49" fillId="9" borderId="51" xfId="4" applyNumberFormat="1" applyFont="1" applyFill="1" applyBorder="1" applyAlignment="1" applyProtection="1">
      <alignment horizontal="right" vertical="center"/>
      <protection locked="0"/>
    </xf>
    <xf numFmtId="167" fontId="49" fillId="0" borderId="51" xfId="4" applyNumberFormat="1" applyFont="1" applyBorder="1" applyAlignment="1">
      <alignment horizontal="right" vertical="center"/>
    </xf>
    <xf numFmtId="167" fontId="49" fillId="0" borderId="55" xfId="4" applyNumberFormat="1" applyFont="1" applyBorder="1" applyAlignment="1">
      <alignment horizontal="right" vertical="center"/>
    </xf>
    <xf numFmtId="167" fontId="49" fillId="0" borderId="177" xfId="4" applyNumberFormat="1" applyFont="1" applyBorder="1" applyAlignment="1">
      <alignment horizontal="right" vertical="center"/>
    </xf>
    <xf numFmtId="167" fontId="49" fillId="0" borderId="178" xfId="4" applyNumberFormat="1" applyFont="1" applyBorder="1" applyAlignment="1">
      <alignment horizontal="right" vertical="center"/>
    </xf>
    <xf numFmtId="0" fontId="50" fillId="0" borderId="0" xfId="4" applyFont="1" applyAlignment="1">
      <alignment vertical="center"/>
    </xf>
    <xf numFmtId="0" fontId="51" fillId="0" borderId="0" xfId="4" applyFont="1" applyAlignment="1">
      <alignment vertical="center"/>
    </xf>
    <xf numFmtId="3" fontId="37" fillId="10" borderId="2" xfId="0" applyNumberFormat="1" applyFont="1" applyFill="1" applyBorder="1" applyAlignment="1">
      <alignment horizontal="right" vertical="center"/>
    </xf>
    <xf numFmtId="49" fontId="39" fillId="0" borderId="41" xfId="4" applyNumberFormat="1" applyFont="1" applyBorder="1" applyAlignment="1">
      <alignment horizontal="center" vertical="center"/>
    </xf>
    <xf numFmtId="3" fontId="49" fillId="9" borderId="4" xfId="4" applyNumberFormat="1" applyFont="1" applyFill="1" applyBorder="1" applyAlignment="1" applyProtection="1">
      <alignment horizontal="right" vertical="center"/>
      <protection locked="0"/>
    </xf>
    <xf numFmtId="167" fontId="49" fillId="0" borderId="4" xfId="4" applyNumberFormat="1" applyFont="1" applyBorder="1" applyAlignment="1">
      <alignment horizontal="right" vertical="center"/>
    </xf>
    <xf numFmtId="167" fontId="49" fillId="0" borderId="78" xfId="4" applyNumberFormat="1" applyFont="1" applyBorder="1" applyAlignment="1">
      <alignment horizontal="right" vertical="center"/>
    </xf>
    <xf numFmtId="167" fontId="49" fillId="0" borderId="146" xfId="4" applyNumberFormat="1" applyFont="1" applyBorder="1" applyAlignment="1">
      <alignment horizontal="right" vertical="center"/>
    </xf>
    <xf numFmtId="167" fontId="49" fillId="0" borderId="42" xfId="4" applyNumberFormat="1" applyFont="1" applyBorder="1" applyAlignment="1">
      <alignment horizontal="right" vertical="center"/>
    </xf>
    <xf numFmtId="167" fontId="32" fillId="4" borderId="2" xfId="4" applyNumberFormat="1" applyFont="1" applyFill="1" applyBorder="1" applyAlignment="1">
      <alignment horizontal="right" vertical="center"/>
    </xf>
    <xf numFmtId="3" fontId="32" fillId="4" borderId="2" xfId="4" applyNumberFormat="1" applyFont="1" applyFill="1" applyBorder="1" applyAlignment="1" applyProtection="1">
      <alignment horizontal="right" vertical="center"/>
      <protection locked="0"/>
    </xf>
    <xf numFmtId="3" fontId="40" fillId="0" borderId="156" xfId="4" applyNumberFormat="1" applyFont="1" applyBorder="1" applyAlignment="1">
      <alignment horizontal="right" vertical="center"/>
    </xf>
    <xf numFmtId="49" fontId="39" fillId="0" borderId="156" xfId="4" applyNumberFormat="1" applyFont="1" applyBorder="1" applyAlignment="1">
      <alignment horizontal="center" vertical="top" wrapText="1"/>
    </xf>
    <xf numFmtId="3" fontId="40" fillId="0" borderId="158" xfId="0" applyNumberFormat="1" applyFont="1" applyBorder="1" applyAlignment="1">
      <alignment horizontal="right" vertical="center"/>
    </xf>
    <xf numFmtId="49" fontId="40" fillId="0" borderId="166" xfId="4" applyNumberFormat="1" applyFont="1" applyBorder="1" applyAlignment="1">
      <alignment horizontal="center" vertical="center"/>
    </xf>
    <xf numFmtId="3" fontId="40" fillId="0" borderId="168" xfId="4" applyNumberFormat="1" applyFont="1" applyBorder="1" applyAlignment="1">
      <alignment horizontal="right" vertical="center"/>
    </xf>
    <xf numFmtId="167" fontId="40" fillId="0" borderId="168" xfId="4" applyNumberFormat="1" applyFont="1" applyBorder="1" applyAlignment="1">
      <alignment horizontal="right" vertical="center"/>
    </xf>
    <xf numFmtId="167" fontId="40" fillId="0" borderId="169" xfId="4" applyNumberFormat="1" applyFont="1" applyBorder="1" applyAlignment="1">
      <alignment horizontal="right" vertical="center"/>
    </xf>
    <xf numFmtId="167" fontId="40" fillId="0" borderId="170" xfId="4" applyNumberFormat="1" applyFont="1" applyBorder="1" applyAlignment="1">
      <alignment horizontal="right" vertical="center"/>
    </xf>
    <xf numFmtId="167" fontId="40" fillId="0" borderId="171" xfId="4" applyNumberFormat="1" applyFont="1" applyBorder="1" applyAlignment="1">
      <alignment horizontal="right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Alignment="1" applyProtection="1">
      <alignment vertical="center"/>
      <protection locked="0"/>
    </xf>
    <xf numFmtId="0" fontId="5" fillId="0" borderId="0" xfId="1" applyAlignment="1" applyProtection="1">
      <alignment horizontal="center" vertical="center"/>
      <protection locked="0"/>
    </xf>
    <xf numFmtId="0" fontId="5" fillId="0" borderId="182" xfId="1" applyBorder="1" applyAlignment="1" applyProtection="1">
      <alignment horizontal="center" vertical="center"/>
      <protection locked="0"/>
    </xf>
    <xf numFmtId="0" fontId="5" fillId="0" borderId="156" xfId="1" applyBorder="1" applyAlignment="1" applyProtection="1">
      <alignment horizontal="center" vertical="center"/>
      <protection locked="0"/>
    </xf>
    <xf numFmtId="0" fontId="5" fillId="0" borderId="161" xfId="1" applyBorder="1" applyAlignment="1" applyProtection="1">
      <alignment horizontal="center" vertical="center"/>
      <protection locked="0"/>
    </xf>
    <xf numFmtId="0" fontId="52" fillId="0" borderId="0" xfId="1" applyFont="1" applyAlignment="1" applyProtection="1">
      <alignment vertical="center"/>
      <protection locked="0"/>
    </xf>
    <xf numFmtId="168" fontId="54" fillId="0" borderId="40" xfId="1" applyNumberFormat="1" applyFont="1" applyBorder="1" applyAlignment="1" applyProtection="1">
      <alignment horizontal="left" vertical="center"/>
      <protection locked="0"/>
    </xf>
    <xf numFmtId="3" fontId="14" fillId="0" borderId="41" xfId="1" applyNumberFormat="1" applyFont="1" applyBorder="1" applyAlignment="1" applyProtection="1">
      <alignment vertical="center"/>
      <protection locked="0"/>
    </xf>
    <xf numFmtId="3" fontId="14" fillId="0" borderId="178" xfId="1" applyNumberFormat="1" applyFont="1" applyBorder="1" applyAlignment="1" applyProtection="1">
      <alignment horizontal="right" vertical="center"/>
      <protection locked="0"/>
    </xf>
    <xf numFmtId="168" fontId="11" fillId="0" borderId="28" xfId="1" applyNumberFormat="1" applyFont="1" applyBorder="1" applyAlignment="1" applyProtection="1">
      <alignment horizontal="left" vertical="center"/>
      <protection locked="0"/>
    </xf>
    <xf numFmtId="3" fontId="8" fillId="10" borderId="0" xfId="0" applyNumberFormat="1" applyFont="1" applyFill="1" applyAlignment="1">
      <alignment vertical="center"/>
    </xf>
    <xf numFmtId="3" fontId="8" fillId="10" borderId="151" xfId="0" applyNumberFormat="1" applyFont="1" applyFill="1" applyBorder="1" applyAlignment="1">
      <alignment vertical="center"/>
    </xf>
    <xf numFmtId="3" fontId="8" fillId="10" borderId="15" xfId="0" applyNumberFormat="1" applyFont="1" applyFill="1" applyBorder="1" applyAlignment="1">
      <alignment vertical="center"/>
    </xf>
    <xf numFmtId="3" fontId="8" fillId="10" borderId="17" xfId="0" applyNumberFormat="1" applyFont="1" applyFill="1" applyBorder="1" applyAlignment="1">
      <alignment vertical="center"/>
    </xf>
    <xf numFmtId="168" fontId="11" fillId="0" borderId="43" xfId="1" applyNumberFormat="1" applyFont="1" applyBorder="1" applyAlignment="1" applyProtection="1">
      <alignment horizontal="left" vertical="center"/>
      <protection locked="0"/>
    </xf>
    <xf numFmtId="3" fontId="8" fillId="10" borderId="44" xfId="0" applyNumberFormat="1" applyFont="1" applyFill="1" applyBorder="1" applyAlignment="1">
      <alignment vertical="center"/>
    </xf>
    <xf numFmtId="3" fontId="8" fillId="10" borderId="45" xfId="0" applyNumberFormat="1" applyFont="1" applyFill="1" applyBorder="1" applyAlignment="1">
      <alignment vertical="center"/>
    </xf>
    <xf numFmtId="168" fontId="55" fillId="0" borderId="182" xfId="1" applyNumberFormat="1" applyFont="1" applyBorder="1" applyAlignment="1" applyProtection="1">
      <alignment horizontal="left" vertical="center"/>
      <protection locked="0"/>
    </xf>
    <xf numFmtId="3" fontId="9" fillId="10" borderId="156" xfId="0" applyNumberFormat="1" applyFont="1" applyFill="1" applyBorder="1" applyAlignment="1">
      <alignment vertical="center"/>
    </xf>
    <xf numFmtId="3" fontId="9" fillId="10" borderId="161" xfId="0" applyNumberFormat="1" applyFont="1" applyFill="1" applyBorder="1" applyAlignment="1">
      <alignment vertical="center"/>
    </xf>
    <xf numFmtId="0" fontId="8" fillId="10" borderId="41" xfId="0" applyFont="1" applyFill="1" applyBorder="1" applyAlignment="1">
      <alignment vertical="center"/>
    </xf>
    <xf numFmtId="0" fontId="8" fillId="10" borderId="42" xfId="0" applyFont="1" applyFill="1" applyBorder="1" applyAlignment="1">
      <alignment vertical="center"/>
    </xf>
    <xf numFmtId="0" fontId="8" fillId="10" borderId="15" xfId="0" applyFont="1" applyFill="1" applyBorder="1" applyAlignment="1">
      <alignment vertical="center"/>
    </xf>
    <xf numFmtId="0" fontId="8" fillId="10" borderId="17" xfId="0" applyFont="1" applyFill="1" applyBorder="1" applyAlignment="1">
      <alignment vertical="center"/>
    </xf>
    <xf numFmtId="168" fontId="11" fillId="0" borderId="28" xfId="1" applyNumberFormat="1" applyFont="1" applyBorder="1" applyAlignment="1" applyProtection="1">
      <alignment horizontal="left" vertical="center" wrapText="1"/>
      <protection locked="0"/>
    </xf>
    <xf numFmtId="3" fontId="9" fillId="10" borderId="38" xfId="0" applyNumberFormat="1" applyFont="1" applyFill="1" applyBorder="1" applyAlignment="1">
      <alignment vertical="center"/>
    </xf>
    <xf numFmtId="3" fontId="9" fillId="10" borderId="39" xfId="0" applyNumberFormat="1" applyFont="1" applyFill="1" applyBorder="1" applyAlignment="1">
      <alignment vertical="center"/>
    </xf>
    <xf numFmtId="0" fontId="5" fillId="0" borderId="0" xfId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16" fillId="0" borderId="29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7" xfId="0" applyNumberFormat="1" applyFont="1" applyBorder="1" applyAlignment="1" applyProtection="1">
      <alignment horizontal="center" vertical="center"/>
      <protection locked="0"/>
    </xf>
    <xf numFmtId="49" fontId="16" fillId="0" borderId="29" xfId="0" applyNumberFormat="1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49" fontId="15" fillId="0" borderId="29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9" fontId="16" fillId="0" borderId="20" xfId="0" applyNumberFormat="1" applyFont="1" applyBorder="1" applyAlignment="1" applyProtection="1">
      <alignment horizontal="center" vertical="center" wrapText="1"/>
      <protection locked="0"/>
    </xf>
    <xf numFmtId="49" fontId="16" fillId="0" borderId="21" xfId="0" applyNumberFormat="1" applyFont="1" applyBorder="1" applyAlignment="1" applyProtection="1">
      <alignment horizontal="center" vertical="center" wrapText="1"/>
      <protection locked="0"/>
    </xf>
    <xf numFmtId="49" fontId="16" fillId="0" borderId="26" xfId="0" applyNumberFormat="1" applyFont="1" applyBorder="1" applyAlignment="1" applyProtection="1">
      <alignment horizontal="center" vertical="center" wrapText="1"/>
      <protection locked="0"/>
    </xf>
    <xf numFmtId="49" fontId="16" fillId="0" borderId="27" xfId="0" applyNumberFormat="1" applyFont="1" applyBorder="1" applyAlignment="1" applyProtection="1">
      <alignment horizontal="center" vertical="center" wrapText="1"/>
      <protection locked="0"/>
    </xf>
    <xf numFmtId="49" fontId="16" fillId="0" borderId="31" xfId="0" applyNumberFormat="1" applyFont="1" applyBorder="1" applyAlignment="1" applyProtection="1">
      <alignment horizontal="center" vertical="center" wrapText="1"/>
      <protection locked="0"/>
    </xf>
    <xf numFmtId="49" fontId="16" fillId="0" borderId="35" xfId="0" applyNumberFormat="1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6" xfId="0" applyFont="1" applyBorder="1" applyAlignment="1">
      <alignment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5" fillId="0" borderId="0" xfId="0" applyFont="1"/>
    <xf numFmtId="0" fontId="18" fillId="0" borderId="0" xfId="0" applyFont="1"/>
    <xf numFmtId="3" fontId="28" fillId="0" borderId="15" xfId="4" applyNumberFormat="1" applyFont="1" applyBorder="1" applyAlignment="1" applyProtection="1">
      <alignment horizontal="center" vertical="center" wrapText="1"/>
      <protection locked="0"/>
    </xf>
    <xf numFmtId="3" fontId="28" fillId="0" borderId="29" xfId="4" applyNumberFormat="1" applyFont="1" applyBorder="1" applyAlignment="1" applyProtection="1">
      <alignment horizontal="center" vertical="center"/>
      <protection locked="0"/>
    </xf>
    <xf numFmtId="0" fontId="28" fillId="0" borderId="16" xfId="4" applyFont="1" applyBorder="1" applyAlignment="1">
      <alignment horizontal="center"/>
    </xf>
    <xf numFmtId="0" fontId="28" fillId="0" borderId="149" xfId="4" applyFont="1" applyBorder="1" applyAlignment="1">
      <alignment horizontal="center"/>
    </xf>
    <xf numFmtId="0" fontId="26" fillId="9" borderId="0" xfId="4" applyFont="1" applyFill="1" applyAlignment="1" applyProtection="1">
      <alignment horizontal="left" vertical="center" wrapText="1"/>
      <protection locked="0"/>
    </xf>
    <xf numFmtId="49" fontId="30" fillId="0" borderId="0" xfId="4" applyNumberFormat="1" applyFont="1" applyAlignment="1">
      <alignment horizontal="center"/>
    </xf>
    <xf numFmtId="167" fontId="34" fillId="0" borderId="143" xfId="4" applyNumberFormat="1" applyFont="1" applyBorder="1" applyAlignment="1">
      <alignment horizontal="left"/>
    </xf>
    <xf numFmtId="0" fontId="35" fillId="0" borderId="60" xfId="4" applyFont="1" applyBorder="1" applyAlignment="1">
      <alignment horizontal="center" vertical="center" wrapText="1"/>
    </xf>
    <xf numFmtId="0" fontId="35" fillId="0" borderId="58" xfId="4" applyFont="1" applyBorder="1" applyAlignment="1">
      <alignment horizontal="center" vertical="center"/>
    </xf>
    <xf numFmtId="0" fontId="35" fillId="0" borderId="77" xfId="4" applyFont="1" applyBorder="1" applyAlignment="1">
      <alignment horizontal="center" vertical="center"/>
    </xf>
    <xf numFmtId="49" fontId="29" fillId="0" borderId="53" xfId="4" applyNumberFormat="1" applyFont="1" applyBorder="1" applyAlignment="1">
      <alignment horizontal="center" vertical="center" wrapText="1"/>
    </xf>
    <xf numFmtId="49" fontId="29" fillId="0" borderId="62" xfId="4" applyNumberFormat="1" applyFont="1" applyBorder="1" applyAlignment="1">
      <alignment horizontal="center" vertical="center" wrapText="1"/>
    </xf>
    <xf numFmtId="49" fontId="29" fillId="0" borderId="14" xfId="4" applyNumberFormat="1" applyFont="1" applyBorder="1" applyAlignment="1">
      <alignment horizontal="center" vertical="center" wrapText="1"/>
    </xf>
    <xf numFmtId="49" fontId="29" fillId="0" borderId="27" xfId="4" applyNumberFormat="1" applyFont="1" applyBorder="1" applyAlignment="1">
      <alignment horizontal="center" vertical="center" wrapText="1"/>
    </xf>
    <xf numFmtId="49" fontId="29" fillId="0" borderId="41" xfId="4" applyNumberFormat="1" applyFont="1" applyBorder="1" applyAlignment="1">
      <alignment horizontal="center" vertical="center" wrapText="1"/>
    </xf>
    <xf numFmtId="49" fontId="29" fillId="0" borderId="35" xfId="4" applyNumberFormat="1" applyFont="1" applyBorder="1" applyAlignment="1">
      <alignment horizontal="center" vertical="center" wrapText="1"/>
    </xf>
    <xf numFmtId="3" fontId="28" fillId="0" borderId="51" xfId="4" applyNumberFormat="1" applyFont="1" applyBorder="1" applyAlignment="1">
      <alignment horizontal="center" vertical="center"/>
    </xf>
    <xf numFmtId="3" fontId="28" fillId="0" borderId="55" xfId="4" applyNumberFormat="1" applyFont="1" applyBorder="1" applyAlignment="1">
      <alignment horizontal="center" vertical="center"/>
    </xf>
    <xf numFmtId="167" fontId="28" fillId="0" borderId="144" xfId="4" applyNumberFormat="1" applyFont="1" applyBorder="1" applyAlignment="1">
      <alignment horizontal="center" vertical="center" wrapText="1"/>
    </xf>
    <xf numFmtId="167" fontId="28" fillId="0" borderId="63" xfId="4" applyNumberFormat="1" applyFont="1" applyBorder="1" applyAlignment="1">
      <alignment horizontal="center" vertical="center" wrapText="1"/>
    </xf>
    <xf numFmtId="167" fontId="28" fillId="0" borderId="145" xfId="4" applyNumberFormat="1" applyFont="1" applyBorder="1" applyAlignment="1">
      <alignment horizontal="center" vertical="center" wrapText="1"/>
    </xf>
    <xf numFmtId="167" fontId="28" fillId="0" borderId="146" xfId="4" applyNumberFormat="1" applyFont="1" applyBorder="1" applyAlignment="1">
      <alignment horizontal="center" vertical="center" wrapText="1"/>
    </xf>
    <xf numFmtId="167" fontId="28" fillId="0" borderId="32" xfId="4" applyNumberFormat="1" applyFont="1" applyBorder="1" applyAlignment="1">
      <alignment horizontal="center" vertical="center" wrapText="1"/>
    </xf>
    <xf numFmtId="167" fontId="28" fillId="0" borderId="33" xfId="4" applyNumberFormat="1" applyFont="1" applyBorder="1" applyAlignment="1">
      <alignment horizontal="center" vertical="center" wrapText="1"/>
    </xf>
    <xf numFmtId="3" fontId="28" fillId="0" borderId="29" xfId="4" applyNumberFormat="1" applyFont="1" applyBorder="1" applyAlignment="1" applyProtection="1">
      <alignment horizontal="center" vertical="center" wrapText="1"/>
      <protection locked="0"/>
    </xf>
    <xf numFmtId="0" fontId="53" fillId="0" borderId="0" xfId="1" applyFont="1" applyAlignment="1" applyProtection="1">
      <alignment horizontal="center" vertical="center" wrapText="1"/>
      <protection locked="0"/>
    </xf>
    <xf numFmtId="0" fontId="18" fillId="0" borderId="125" xfId="1" applyFont="1" applyBorder="1" applyAlignment="1" applyProtection="1">
      <alignment horizontal="center" vertical="center" wrapText="1"/>
      <protection locked="0"/>
    </xf>
    <xf numFmtId="0" fontId="18" fillId="0" borderId="138" xfId="1" applyFont="1" applyBorder="1" applyAlignment="1" applyProtection="1">
      <alignment horizontal="center" vertical="center"/>
      <protection locked="0"/>
    </xf>
    <xf numFmtId="0" fontId="10" fillId="0" borderId="179" xfId="1" applyFont="1" applyBorder="1" applyAlignment="1" applyProtection="1">
      <alignment horizontal="center" vertical="center" wrapText="1"/>
      <protection locked="0"/>
    </xf>
    <xf numFmtId="0" fontId="10" fillId="0" borderId="181" xfId="1" applyFont="1" applyBorder="1" applyAlignment="1" applyProtection="1">
      <alignment horizontal="center" vertical="center" wrapText="1"/>
      <protection locked="0"/>
    </xf>
    <xf numFmtId="0" fontId="10" fillId="0" borderId="180" xfId="1" applyFont="1" applyBorder="1" applyAlignment="1" applyProtection="1">
      <alignment horizontal="center" vertical="center" wrapText="1"/>
      <protection locked="0"/>
    </xf>
    <xf numFmtId="0" fontId="10" fillId="0" borderId="164" xfId="1" applyFont="1" applyBorder="1" applyAlignment="1" applyProtection="1">
      <alignment horizontal="center" vertical="center" wrapText="1"/>
      <protection locked="0"/>
    </xf>
    <xf numFmtId="0" fontId="14" fillId="0" borderId="24" xfId="1" applyFont="1" applyBorder="1" applyAlignment="1" applyProtection="1">
      <alignment horizontal="left" vertical="center"/>
      <protection locked="0"/>
    </xf>
    <xf numFmtId="0" fontId="5" fillId="0" borderId="0" xfId="1" applyAlignment="1" applyProtection="1">
      <alignment horizontal="left" vertical="center" wrapText="1"/>
      <protection locked="0"/>
    </xf>
    <xf numFmtId="0" fontId="9" fillId="4" borderId="0" xfId="0" applyFont="1" applyFill="1" applyAlignment="1">
      <alignment horizontal="left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0" fontId="57" fillId="11" borderId="183" xfId="0" applyFont="1" applyFill="1" applyBorder="1" applyAlignment="1">
      <alignment horizontal="center" vertical="center"/>
    </xf>
    <xf numFmtId="0" fontId="57" fillId="3" borderId="6" xfId="0" applyFont="1" applyFill="1" applyBorder="1" applyAlignment="1">
      <alignment horizontal="center" vertical="center" wrapText="1"/>
    </xf>
    <xf numFmtId="0" fontId="57" fillId="3" borderId="7" xfId="0" applyFont="1" applyFill="1" applyBorder="1" applyAlignment="1">
      <alignment horizontal="center" vertical="center" wrapText="1"/>
    </xf>
    <xf numFmtId="0" fontId="57" fillId="3" borderId="183" xfId="0" applyFont="1" applyFill="1" applyBorder="1" applyAlignment="1">
      <alignment horizontal="center"/>
    </xf>
    <xf numFmtId="0" fontId="57" fillId="3" borderId="6" xfId="0" applyFont="1" applyFill="1" applyBorder="1" applyAlignment="1">
      <alignment horizontal="center" vertical="center"/>
    </xf>
    <xf numFmtId="0" fontId="57" fillId="3" borderId="183" xfId="0" applyFont="1" applyFill="1" applyBorder="1" applyAlignment="1">
      <alignment horizontal="center" vertical="center"/>
    </xf>
    <xf numFmtId="0" fontId="57" fillId="3" borderId="7" xfId="0" applyFont="1" applyFill="1" applyBorder="1" applyAlignment="1">
      <alignment horizontal="center" vertical="center"/>
    </xf>
    <xf numFmtId="0" fontId="57" fillId="11" borderId="0" xfId="0" applyFont="1" applyFill="1" applyAlignment="1">
      <alignment horizontal="center" vertical="center"/>
    </xf>
    <xf numFmtId="0" fontId="57" fillId="3" borderId="184" xfId="0" applyFont="1" applyFill="1" applyBorder="1" applyAlignment="1">
      <alignment horizontal="center" vertical="center" wrapText="1"/>
    </xf>
    <xf numFmtId="0" fontId="57" fillId="3" borderId="185" xfId="0" applyFont="1" applyFill="1" applyBorder="1" applyAlignment="1">
      <alignment horizontal="center" vertical="center" wrapText="1"/>
    </xf>
    <xf numFmtId="0" fontId="57" fillId="3" borderId="10" xfId="0" applyFont="1" applyFill="1" applyBorder="1" applyAlignment="1">
      <alignment horizontal="center"/>
    </xf>
    <xf numFmtId="0" fontId="57" fillId="3" borderId="11" xfId="0" applyFont="1" applyFill="1" applyBorder="1" applyAlignment="1">
      <alignment horizontal="center"/>
    </xf>
    <xf numFmtId="0" fontId="57" fillId="3" borderId="12" xfId="0" applyFont="1" applyFill="1" applyBorder="1" applyAlignment="1">
      <alignment horizontal="center"/>
    </xf>
    <xf numFmtId="0" fontId="57" fillId="3" borderId="8" xfId="0" applyFont="1" applyFill="1" applyBorder="1" applyAlignment="1">
      <alignment horizontal="center" vertical="center"/>
    </xf>
    <xf numFmtId="0" fontId="57" fillId="3" borderId="186" xfId="0" applyFont="1" applyFill="1" applyBorder="1" applyAlignment="1">
      <alignment horizontal="center" vertical="center"/>
    </xf>
    <xf numFmtId="0" fontId="57" fillId="3" borderId="9" xfId="0" applyFont="1" applyFill="1" applyBorder="1" applyAlignment="1">
      <alignment horizontal="center" vertical="center"/>
    </xf>
    <xf numFmtId="0" fontId="57" fillId="11" borderId="186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3" borderId="12" xfId="0" quotePrefix="1" applyFont="1" applyFill="1" applyBorder="1" applyAlignment="1">
      <alignment horizontal="center"/>
    </xf>
    <xf numFmtId="17" fontId="4" fillId="3" borderId="12" xfId="0" quotePrefix="1" applyNumberFormat="1" applyFont="1" applyFill="1" applyBorder="1" applyAlignment="1">
      <alignment horizontal="center"/>
    </xf>
    <xf numFmtId="0" fontId="58" fillId="12" borderId="186" xfId="0" applyFont="1" applyFill="1" applyBorder="1" applyAlignment="1">
      <alignment horizontal="center" vertical="center"/>
    </xf>
    <xf numFmtId="0" fontId="58" fillId="12" borderId="184" xfId="0" applyFont="1" applyFill="1" applyBorder="1" applyAlignment="1">
      <alignment horizontal="center" vertical="center"/>
    </xf>
    <xf numFmtId="0" fontId="58" fillId="12" borderId="1" xfId="0" applyFont="1" applyFill="1" applyBorder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0" fontId="58" fillId="4" borderId="7" xfId="0" quotePrefix="1" applyFont="1" applyFill="1" applyBorder="1" applyAlignment="1">
      <alignment horizontal="center" vertical="center"/>
    </xf>
    <xf numFmtId="0" fontId="58" fillId="4" borderId="13" xfId="0" quotePrefix="1" applyFont="1" applyFill="1" applyBorder="1" applyAlignment="1">
      <alignment horizontal="center" vertical="center"/>
    </xf>
    <xf numFmtId="0" fontId="2" fillId="8" borderId="183" xfId="0" applyFont="1" applyFill="1" applyBorder="1" applyAlignment="1">
      <alignment vertical="center"/>
    </xf>
    <xf numFmtId="3" fontId="2" fillId="4" borderId="187" xfId="0" applyNumberFormat="1" applyFont="1" applyFill="1" applyBorder="1" applyAlignment="1">
      <alignment vertical="center"/>
    </xf>
    <xf numFmtId="3" fontId="2" fillId="4" borderId="188" xfId="0" applyNumberFormat="1" applyFont="1" applyFill="1" applyBorder="1" applyAlignment="1">
      <alignment vertical="center"/>
    </xf>
    <xf numFmtId="3" fontId="2" fillId="4" borderId="189" xfId="0" applyNumberFormat="1" applyFont="1" applyFill="1" applyBorder="1" applyAlignment="1">
      <alignment vertical="center"/>
    </xf>
    <xf numFmtId="3" fontId="2" fillId="8" borderId="190" xfId="0" applyNumberFormat="1" applyFont="1" applyFill="1" applyBorder="1" applyAlignment="1">
      <alignment vertical="center"/>
    </xf>
    <xf numFmtId="3" fontId="2" fillId="8" borderId="189" xfId="0" applyNumberFormat="1" applyFont="1" applyFill="1" applyBorder="1" applyAlignment="1">
      <alignment vertical="center"/>
    </xf>
    <xf numFmtId="3" fontId="2" fillId="4" borderId="189" xfId="0" applyNumberFormat="1" applyFont="1" applyFill="1" applyBorder="1" applyAlignment="1">
      <alignment horizontal="center" vertical="center"/>
    </xf>
    <xf numFmtId="3" fontId="2" fillId="4" borderId="191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3" fontId="2" fillId="4" borderId="192" xfId="0" applyNumberFormat="1" applyFont="1" applyFill="1" applyBorder="1" applyAlignment="1">
      <alignment vertical="center"/>
    </xf>
    <xf numFmtId="3" fontId="2" fillId="4" borderId="185" xfId="0" applyNumberFormat="1" applyFont="1" applyFill="1" applyBorder="1" applyAlignment="1">
      <alignment vertical="center"/>
    </xf>
    <xf numFmtId="3" fontId="2" fillId="4" borderId="193" xfId="0" applyNumberFormat="1" applyFont="1" applyFill="1" applyBorder="1" applyAlignment="1">
      <alignment vertical="center"/>
    </xf>
    <xf numFmtId="3" fontId="2" fillId="8" borderId="184" xfId="0" applyNumberFormat="1" applyFont="1" applyFill="1" applyBorder="1" applyAlignment="1">
      <alignment vertical="center"/>
    </xf>
    <xf numFmtId="3" fontId="2" fillId="8" borderId="193" xfId="0" applyNumberFormat="1" applyFont="1" applyFill="1" applyBorder="1" applyAlignment="1">
      <alignment vertical="center"/>
    </xf>
    <xf numFmtId="3" fontId="2" fillId="4" borderId="193" xfId="0" applyNumberFormat="1" applyFont="1" applyFill="1" applyBorder="1" applyAlignment="1">
      <alignment horizontal="center" vertical="center"/>
    </xf>
    <xf numFmtId="3" fontId="2" fillId="4" borderId="194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3" fontId="2" fillId="8" borderId="184" xfId="0" applyNumberFormat="1" applyFont="1" applyFill="1" applyBorder="1" applyAlignment="1">
      <alignment horizontal="right" vertical="center"/>
    </xf>
    <xf numFmtId="3" fontId="2" fillId="8" borderId="193" xfId="0" applyNumberFormat="1" applyFont="1" applyFill="1" applyBorder="1" applyAlignment="1">
      <alignment horizontal="right" vertical="center"/>
    </xf>
    <xf numFmtId="3" fontId="2" fillId="4" borderId="184" xfId="0" applyNumberFormat="1" applyFont="1" applyFill="1" applyBorder="1" applyAlignment="1">
      <alignment horizontal="center" vertical="center"/>
    </xf>
    <xf numFmtId="3" fontId="2" fillId="8" borderId="14" xfId="0" applyNumberFormat="1" applyFont="1" applyFill="1" applyBorder="1" applyAlignment="1">
      <alignment horizontal="right" vertical="center" wrapText="1"/>
    </xf>
    <xf numFmtId="3" fontId="2" fillId="4" borderId="3" xfId="0" applyNumberFormat="1" applyFont="1" applyFill="1" applyBorder="1" applyAlignment="1">
      <alignment vertical="center" wrapText="1"/>
    </xf>
    <xf numFmtId="0" fontId="3" fillId="8" borderId="195" xfId="0" applyFont="1" applyFill="1" applyBorder="1" applyAlignment="1">
      <alignment vertical="center"/>
    </xf>
    <xf numFmtId="3" fontId="3" fillId="8" borderId="15" xfId="0" applyNumberFormat="1" applyFont="1" applyFill="1" applyBorder="1" applyAlignment="1">
      <alignment vertical="center"/>
    </xf>
    <xf numFmtId="3" fontId="3" fillId="8" borderId="196" xfId="0" applyNumberFormat="1" applyFont="1" applyFill="1" applyBorder="1" applyAlignment="1">
      <alignment vertical="center"/>
    </xf>
    <xf numFmtId="3" fontId="3" fillId="8" borderId="197" xfId="0" applyNumberFormat="1" applyFont="1" applyFill="1" applyBorder="1" applyAlignment="1">
      <alignment vertical="center"/>
    </xf>
    <xf numFmtId="3" fontId="3" fillId="8" borderId="198" xfId="0" applyNumberFormat="1" applyFont="1" applyFill="1" applyBorder="1" applyAlignment="1">
      <alignment vertical="center"/>
    </xf>
    <xf numFmtId="3" fontId="3" fillId="4" borderId="198" xfId="0" applyNumberFormat="1" applyFont="1" applyFill="1" applyBorder="1" applyAlignment="1">
      <alignment horizontal="center" vertical="center"/>
    </xf>
    <xf numFmtId="3" fontId="3" fillId="4" borderId="196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58" fillId="3" borderId="1" xfId="0" applyFont="1" applyFill="1" applyBorder="1" applyAlignment="1">
      <alignment horizontal="center" vertical="center"/>
    </xf>
    <xf numFmtId="0" fontId="2" fillId="4" borderId="2" xfId="0" applyFont="1" applyFill="1" applyBorder="1"/>
    <xf numFmtId="3" fontId="2" fillId="5" borderId="2" xfId="0" applyNumberFormat="1" applyFont="1" applyFill="1" applyBorder="1"/>
    <xf numFmtId="167" fontId="2" fillId="4" borderId="2" xfId="0" applyNumberFormat="1" applyFont="1" applyFill="1" applyBorder="1"/>
    <xf numFmtId="0" fontId="2" fillId="4" borderId="3" xfId="0" applyFont="1" applyFill="1" applyBorder="1"/>
    <xf numFmtId="3" fontId="2" fillId="5" borderId="3" xfId="0" applyNumberFormat="1" applyFont="1" applyFill="1" applyBorder="1"/>
    <xf numFmtId="167" fontId="2" fillId="4" borderId="3" xfId="0" applyNumberFormat="1" applyFont="1" applyFill="1" applyBorder="1"/>
    <xf numFmtId="167" fontId="2" fillId="4" borderId="3" xfId="0" applyNumberFormat="1" applyFont="1" applyFill="1" applyBorder="1" applyAlignment="1">
      <alignment horizontal="center"/>
    </xf>
    <xf numFmtId="0" fontId="2" fillId="4" borderId="4" xfId="0" applyFont="1" applyFill="1" applyBorder="1"/>
    <xf numFmtId="3" fontId="2" fillId="5" borderId="4" xfId="0" applyNumberFormat="1" applyFont="1" applyFill="1" applyBorder="1"/>
    <xf numFmtId="167" fontId="2" fillId="4" borderId="4" xfId="0" applyNumberFormat="1" applyFont="1" applyFill="1" applyBorder="1"/>
    <xf numFmtId="0" fontId="3" fillId="0" borderId="1" xfId="0" applyFont="1" applyBorder="1"/>
    <xf numFmtId="3" fontId="3" fillId="0" borderId="1" xfId="0" applyNumberFormat="1" applyFont="1" applyBorder="1"/>
    <xf numFmtId="167" fontId="3" fillId="0" borderId="1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59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3" fillId="2" borderId="152" xfId="0" applyNumberFormat="1" applyFont="1" applyFill="1" applyBorder="1" applyAlignment="1">
      <alignment horizontal="center" vertical="center" wrapText="1"/>
    </xf>
    <xf numFmtId="0" fontId="4" fillId="11" borderId="199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3" borderId="200" xfId="0" applyFont="1" applyFill="1" applyBorder="1" applyAlignment="1">
      <alignment horizontal="center"/>
    </xf>
    <xf numFmtId="0" fontId="4" fillId="3" borderId="201" xfId="0" applyFont="1" applyFill="1" applyBorder="1" applyAlignment="1">
      <alignment horizontal="center"/>
    </xf>
    <xf numFmtId="0" fontId="4" fillId="3" borderId="202" xfId="0" applyFont="1" applyFill="1" applyBorder="1" applyAlignment="1">
      <alignment horizontal="center"/>
    </xf>
    <xf numFmtId="0" fontId="4" fillId="3" borderId="190" xfId="0" applyFont="1" applyFill="1" applyBorder="1" applyAlignment="1">
      <alignment horizontal="center" vertical="center" wrapText="1"/>
    </xf>
    <xf numFmtId="0" fontId="4" fillId="3" borderId="188" xfId="0" applyFont="1" applyFill="1" applyBorder="1" applyAlignment="1">
      <alignment horizontal="center" vertical="center" wrapText="1"/>
    </xf>
    <xf numFmtId="0" fontId="4" fillId="3" borderId="19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52" xfId="0" applyFont="1" applyFill="1" applyBorder="1" applyAlignment="1">
      <alignment horizontal="center" vertical="center"/>
    </xf>
    <xf numFmtId="3" fontId="3" fillId="2" borderId="27" xfId="0" applyNumberFormat="1" applyFont="1" applyFill="1" applyBorder="1" applyAlignment="1">
      <alignment horizontal="center" vertical="center" wrapText="1"/>
    </xf>
    <xf numFmtId="0" fontId="60" fillId="3" borderId="203" xfId="0" applyFont="1" applyFill="1" applyBorder="1" applyAlignment="1">
      <alignment horizontal="center" vertical="center" wrapText="1"/>
    </xf>
    <xf numFmtId="0" fontId="60" fillId="3" borderId="12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86" xfId="0" applyFont="1" applyFill="1" applyBorder="1" applyAlignment="1">
      <alignment horizontal="center" vertical="center"/>
    </xf>
    <xf numFmtId="0" fontId="4" fillId="3" borderId="204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3" borderId="205" xfId="0" quotePrefix="1" applyFont="1" applyFill="1" applyBorder="1" applyAlignment="1">
      <alignment horizontal="center"/>
    </xf>
    <xf numFmtId="0" fontId="58" fillId="8" borderId="206" xfId="0" applyFont="1" applyFill="1" applyBorder="1" applyAlignment="1">
      <alignment horizontal="center" vertical="center"/>
    </xf>
    <xf numFmtId="3" fontId="58" fillId="8" borderId="13" xfId="0" applyNumberFormat="1" applyFont="1" applyFill="1" applyBorder="1" applyAlignment="1">
      <alignment horizontal="center" vertical="center"/>
    </xf>
    <xf numFmtId="3" fontId="58" fillId="4" borderId="13" xfId="0" applyNumberFormat="1" applyFont="1" applyFill="1" applyBorder="1" applyAlignment="1">
      <alignment horizontal="center" vertical="center"/>
    </xf>
    <xf numFmtId="0" fontId="58" fillId="4" borderId="13" xfId="0" applyFont="1" applyFill="1" applyBorder="1" applyAlignment="1">
      <alignment horizontal="center" vertical="center"/>
    </xf>
    <xf numFmtId="0" fontId="58" fillId="4" borderId="207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/>
    </xf>
    <xf numFmtId="0" fontId="2" fillId="6" borderId="187" xfId="7" applyFont="1" applyFill="1" applyBorder="1"/>
    <xf numFmtId="3" fontId="2" fillId="4" borderId="189" xfId="0" applyNumberFormat="1" applyFont="1" applyFill="1" applyBorder="1"/>
    <xf numFmtId="164" fontId="2" fillId="4" borderId="189" xfId="0" applyNumberFormat="1" applyFont="1" applyFill="1" applyBorder="1"/>
    <xf numFmtId="164" fontId="2" fillId="4" borderId="191" xfId="0" applyNumberFormat="1" applyFont="1" applyFill="1" applyBorder="1"/>
    <xf numFmtId="9" fontId="1" fillId="0" borderId="0" xfId="6" applyFont="1"/>
    <xf numFmtId="0" fontId="1" fillId="4" borderId="14" xfId="0" applyFont="1" applyFill="1" applyBorder="1" applyAlignment="1">
      <alignment horizontal="center"/>
    </xf>
    <xf numFmtId="0" fontId="2" fillId="6" borderId="192" xfId="7" applyFont="1" applyFill="1" applyBorder="1"/>
    <xf numFmtId="3" fontId="2" fillId="4" borderId="193" xfId="0" applyNumberFormat="1" applyFont="1" applyFill="1" applyBorder="1"/>
    <xf numFmtId="164" fontId="2" fillId="4" borderId="193" xfId="0" applyNumberFormat="1" applyFont="1" applyFill="1" applyBorder="1"/>
    <xf numFmtId="164" fontId="2" fillId="4" borderId="194" xfId="0" applyNumberFormat="1" applyFont="1" applyFill="1" applyBorder="1"/>
    <xf numFmtId="0" fontId="1" fillId="0" borderId="15" xfId="0" applyFont="1" applyBorder="1" applyAlignment="1">
      <alignment horizontal="center" vertical="center"/>
    </xf>
    <xf numFmtId="0" fontId="3" fillId="6" borderId="1" xfId="7" applyFont="1" applyFill="1" applyBorder="1" applyAlignment="1">
      <alignment horizontal="left" vertical="center"/>
    </xf>
    <xf numFmtId="3" fontId="7" fillId="4" borderId="208" xfId="0" applyNumberFormat="1" applyFont="1" applyFill="1" applyBorder="1" applyAlignment="1">
      <alignment horizontal="right" vertical="center"/>
    </xf>
    <xf numFmtId="3" fontId="7" fillId="4" borderId="198" xfId="0" applyNumberFormat="1" applyFont="1" applyFill="1" applyBorder="1" applyAlignment="1">
      <alignment horizontal="right" vertical="center"/>
    </xf>
    <xf numFmtId="164" fontId="3" fillId="4" borderId="198" xfId="0" applyNumberFormat="1" applyFont="1" applyFill="1" applyBorder="1" applyAlignment="1">
      <alignment horizontal="right" vertical="center"/>
    </xf>
    <xf numFmtId="164" fontId="3" fillId="4" borderId="19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5" fillId="0" borderId="19" xfId="0" applyFont="1" applyBorder="1" applyAlignment="1" applyProtection="1">
      <alignment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49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49" fontId="4" fillId="3" borderId="81" xfId="1" applyNumberFormat="1" applyFont="1" applyFill="1" applyBorder="1" applyAlignment="1" applyProtection="1">
      <alignment horizontal="center" vertical="center" wrapText="1"/>
      <protection locked="0"/>
    </xf>
    <xf numFmtId="49" fontId="4" fillId="3" borderId="29" xfId="1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1" xfId="5" applyFont="1" applyFill="1" applyBorder="1" applyAlignment="1" applyProtection="1">
      <alignment horizontal="center" vertical="center"/>
      <protection locked="0"/>
    </xf>
    <xf numFmtId="168" fontId="2" fillId="4" borderId="2" xfId="0" applyNumberFormat="1" applyFont="1" applyFill="1" applyBorder="1" applyAlignment="1" applyProtection="1">
      <alignment horizontal="center" vertical="center"/>
      <protection locked="0"/>
    </xf>
    <xf numFmtId="169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3" fontId="2" fillId="4" borderId="2" xfId="0" applyNumberFormat="1" applyFont="1" applyFill="1" applyBorder="1" applyAlignment="1" applyProtection="1">
      <alignment horizontal="right" vertical="center"/>
      <protection locked="0"/>
    </xf>
    <xf numFmtId="3" fontId="2" fillId="4" borderId="2" xfId="0" applyNumberFormat="1" applyFont="1" applyFill="1" applyBorder="1" applyAlignment="1" applyProtection="1">
      <alignment vertical="center"/>
      <protection locked="0"/>
    </xf>
    <xf numFmtId="3" fontId="2" fillId="4" borderId="2" xfId="5" applyNumberFormat="1" applyFont="1" applyFill="1" applyBorder="1" applyAlignment="1" applyProtection="1">
      <alignment horizontal="right" vertical="center"/>
      <protection locked="0"/>
    </xf>
    <xf numFmtId="164" fontId="2" fillId="4" borderId="2" xfId="5" applyNumberFormat="1" applyFont="1" applyFill="1" applyBorder="1" applyAlignment="1">
      <alignment vertical="center"/>
    </xf>
    <xf numFmtId="168" fontId="2" fillId="4" borderId="3" xfId="0" quotePrefix="1" applyNumberFormat="1" applyFont="1" applyFill="1" applyBorder="1" applyAlignment="1" applyProtection="1">
      <alignment horizontal="center" vertical="center"/>
      <protection locked="0"/>
    </xf>
    <xf numFmtId="169" fontId="2" fillId="4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3" fontId="2" fillId="4" borderId="3" xfId="3" applyNumberFormat="1" applyFont="1" applyFill="1" applyBorder="1" applyAlignment="1" applyProtection="1">
      <alignment horizontal="center" vertical="center"/>
      <protection locked="0"/>
    </xf>
    <xf numFmtId="164" fontId="2" fillId="4" borderId="3" xfId="5" applyNumberFormat="1" applyFont="1" applyFill="1" applyBorder="1" applyAlignment="1">
      <alignment horizontal="center" vertical="center"/>
    </xf>
    <xf numFmtId="168" fontId="2" fillId="4" borderId="3" xfId="0" applyNumberFormat="1" applyFont="1" applyFill="1" applyBorder="1" applyAlignment="1" applyProtection="1">
      <alignment horizontal="center" vertical="center"/>
      <protection locked="0"/>
    </xf>
    <xf numFmtId="16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169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3" fontId="2" fillId="4" borderId="4" xfId="3" applyNumberFormat="1" applyFont="1" applyFill="1" applyBorder="1" applyAlignment="1" applyProtection="1">
      <alignment horizontal="center" vertical="center"/>
      <protection locked="0"/>
    </xf>
    <xf numFmtId="3" fontId="2" fillId="0" borderId="4" xfId="3" applyNumberFormat="1" applyFont="1" applyBorder="1" applyAlignment="1" applyProtection="1">
      <alignment horizontal="center" vertical="center"/>
      <protection locked="0"/>
    </xf>
    <xf numFmtId="164" fontId="2" fillId="4" borderId="4" xfId="5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4" borderId="0" xfId="1" applyFont="1" applyFill="1" applyAlignment="1" applyProtection="1">
      <alignment vertical="center"/>
      <protection locked="0"/>
    </xf>
    <xf numFmtId="0" fontId="4" fillId="3" borderId="1" xfId="5" applyFont="1" applyFill="1" applyBorder="1" applyAlignment="1" applyProtection="1">
      <alignment horizontal="center" vertical="center" wrapText="1"/>
      <protection locked="0"/>
    </xf>
    <xf numFmtId="0" fontId="4" fillId="3" borderId="1" xfId="5" applyFont="1" applyFill="1" applyBorder="1" applyAlignment="1" applyProtection="1">
      <alignment horizontal="center" vertical="center"/>
      <protection locked="0"/>
    </xf>
    <xf numFmtId="49" fontId="4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/>
    <xf numFmtId="0" fontId="4" fillId="3" borderId="1" xfId="5" applyFont="1" applyFill="1" applyBorder="1" applyAlignment="1" applyProtection="1">
      <alignment horizontal="center" vertical="center" wrapText="1"/>
      <protection locked="0"/>
    </xf>
    <xf numFmtId="49" fontId="4" fillId="3" borderId="1" xfId="5" quotePrefix="1" applyNumberFormat="1" applyFont="1" applyFill="1" applyBorder="1" applyAlignment="1" applyProtection="1">
      <alignment horizontal="center" vertical="center"/>
      <protection locked="0"/>
    </xf>
    <xf numFmtId="0" fontId="62" fillId="4" borderId="0" xfId="0" applyFont="1" applyFill="1"/>
    <xf numFmtId="0" fontId="63" fillId="4" borderId="2" xfId="0" applyFont="1" applyFill="1" applyBorder="1"/>
    <xf numFmtId="3" fontId="3" fillId="4" borderId="2" xfId="3" applyNumberFormat="1" applyFont="1" applyFill="1" applyBorder="1" applyAlignment="1" applyProtection="1">
      <alignment horizontal="right" vertical="center"/>
      <protection locked="0"/>
    </xf>
    <xf numFmtId="164" fontId="3" fillId="4" borderId="2" xfId="5" applyNumberFormat="1" applyFont="1" applyFill="1" applyBorder="1" applyAlignment="1" applyProtection="1">
      <alignment horizontal="right" vertical="center"/>
      <protection locked="0"/>
    </xf>
    <xf numFmtId="1" fontId="64" fillId="4" borderId="3" xfId="0" applyNumberFormat="1" applyFont="1" applyFill="1" applyBorder="1" applyAlignment="1">
      <alignment horizontal="right" vertical="center" wrapText="1"/>
    </xf>
    <xf numFmtId="0" fontId="64" fillId="4" borderId="3" xfId="0" applyFont="1" applyFill="1" applyBorder="1"/>
    <xf numFmtId="3" fontId="2" fillId="4" borderId="3" xfId="5" applyNumberFormat="1" applyFont="1" applyFill="1" applyBorder="1" applyAlignment="1" applyProtection="1">
      <alignment horizontal="right" vertical="center"/>
      <protection locked="0"/>
    </xf>
    <xf numFmtId="164" fontId="2" fillId="4" borderId="3" xfId="5" applyNumberFormat="1" applyFont="1" applyFill="1" applyBorder="1" applyAlignment="1" applyProtection="1">
      <alignment horizontal="right" vertical="center"/>
      <protection locked="0"/>
    </xf>
    <xf numFmtId="3" fontId="2" fillId="4" borderId="4" xfId="5" applyNumberFormat="1" applyFont="1" applyFill="1" applyBorder="1" applyAlignment="1" applyProtection="1">
      <alignment horizontal="right" vertical="center"/>
      <protection locked="0"/>
    </xf>
    <xf numFmtId="164" fontId="2" fillId="4" borderId="4" xfId="5" applyNumberFormat="1" applyFont="1" applyFill="1" applyBorder="1" applyAlignment="1" applyProtection="1">
      <alignment horizontal="right" vertical="center"/>
      <protection locked="0"/>
    </xf>
    <xf numFmtId="3" fontId="1" fillId="4" borderId="0" xfId="0" applyNumberFormat="1" applyFont="1" applyFill="1"/>
    <xf numFmtId="0" fontId="3" fillId="4" borderId="0" xfId="1" applyFont="1" applyFill="1" applyAlignment="1" applyProtection="1">
      <alignment horizontal="center" vertical="center" wrapText="1"/>
      <protection locked="0"/>
    </xf>
    <xf numFmtId="0" fontId="3" fillId="4" borderId="0" xfId="1" applyFont="1" applyFill="1" applyAlignment="1" applyProtection="1">
      <alignment vertical="center"/>
      <protection locked="0"/>
    </xf>
    <xf numFmtId="0" fontId="2" fillId="0" borderId="0" xfId="5" applyFont="1" applyAlignment="1" applyProtection="1">
      <alignment vertical="center"/>
      <protection locked="0"/>
    </xf>
    <xf numFmtId="0" fontId="3" fillId="0" borderId="0" xfId="5" applyFont="1" applyAlignment="1" applyProtection="1">
      <alignment vertical="center"/>
      <protection locked="0"/>
    </xf>
    <xf numFmtId="0" fontId="2" fillId="0" borderId="0" xfId="5" applyFont="1" applyAlignment="1" applyProtection="1">
      <alignment horizontal="left" vertical="center" wrapText="1"/>
      <protection locked="0"/>
    </xf>
    <xf numFmtId="49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59" fillId="3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Alignment="1" applyProtection="1">
      <alignment horizontal="center" vertical="center"/>
      <protection locked="0"/>
    </xf>
    <xf numFmtId="0" fontId="6" fillId="0" borderId="0" xfId="5" applyFont="1" applyAlignment="1" applyProtection="1">
      <alignment vertical="center"/>
      <protection locked="0"/>
    </xf>
    <xf numFmtId="168" fontId="2" fillId="4" borderId="2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 applyProtection="1">
      <alignment horizontal="center" vertical="center"/>
      <protection locked="0"/>
    </xf>
    <xf numFmtId="3" fontId="2" fillId="4" borderId="2" xfId="1" applyNumberFormat="1" applyFont="1" applyFill="1" applyBorder="1" applyAlignment="1" applyProtection="1">
      <alignment horizontal="center" vertical="center"/>
      <protection locked="0"/>
    </xf>
    <xf numFmtId="164" fontId="2" fillId="4" borderId="2" xfId="1" applyNumberFormat="1" applyFont="1" applyFill="1" applyBorder="1" applyAlignment="1">
      <alignment horizontal="center" vertical="center"/>
    </xf>
    <xf numFmtId="168" fontId="2" fillId="4" borderId="3" xfId="1" applyNumberFormat="1" applyFont="1" applyFill="1" applyBorder="1" applyAlignment="1" applyProtection="1">
      <alignment horizontal="center" vertical="center"/>
      <protection locked="0"/>
    </xf>
    <xf numFmtId="0" fontId="2" fillId="4" borderId="3" xfId="1" applyFont="1" applyFill="1" applyBorder="1" applyAlignment="1" applyProtection="1">
      <alignment horizontal="center" vertical="center"/>
      <protection locked="0"/>
    </xf>
    <xf numFmtId="164" fontId="2" fillId="4" borderId="3" xfId="1" applyNumberFormat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vertical="center"/>
    </xf>
    <xf numFmtId="0" fontId="3" fillId="4" borderId="4" xfId="1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/>
    </xf>
    <xf numFmtId="3" fontId="3" fillId="4" borderId="4" xfId="3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49" fontId="65" fillId="0" borderId="0" xfId="4" applyNumberFormat="1" applyFont="1" applyAlignment="1">
      <alignment horizontal="left"/>
    </xf>
    <xf numFmtId="0" fontId="59" fillId="0" borderId="0" xfId="5" applyFont="1" applyAlignment="1">
      <alignment vertical="center"/>
    </xf>
    <xf numFmtId="0" fontId="59" fillId="0" borderId="0" xfId="5" applyFont="1"/>
    <xf numFmtId="0" fontId="4" fillId="0" borderId="0" xfId="5" applyFont="1" applyAlignment="1">
      <alignment horizontal="center" vertical="center"/>
    </xf>
    <xf numFmtId="0" fontId="59" fillId="0" borderId="0" xfId="5" applyFont="1" applyAlignment="1">
      <alignment horizontal="center" vertical="center"/>
    </xf>
    <xf numFmtId="49" fontId="59" fillId="0" borderId="0" xfId="5" applyNumberFormat="1" applyFont="1" applyAlignment="1" applyProtection="1">
      <alignment horizontal="right"/>
      <protection locked="0"/>
    </xf>
    <xf numFmtId="49" fontId="4" fillId="3" borderId="29" xfId="5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5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5" applyNumberFormat="1" applyFont="1" applyFill="1" applyBorder="1" applyAlignment="1" applyProtection="1">
      <alignment horizontal="center" vertical="center"/>
      <protection locked="0"/>
    </xf>
    <xf numFmtId="49" fontId="4" fillId="3" borderId="15" xfId="5" applyNumberFormat="1" applyFont="1" applyFill="1" applyBorder="1" applyAlignment="1" applyProtection="1">
      <alignment horizontal="center" vertical="center" wrapText="1"/>
      <protection locked="0"/>
    </xf>
    <xf numFmtId="49" fontId="4" fillId="3" borderId="81" xfId="5" applyNumberFormat="1" applyFont="1" applyFill="1" applyBorder="1" applyAlignment="1" applyProtection="1">
      <alignment horizontal="center" vertical="center" wrapText="1"/>
      <protection locked="0"/>
    </xf>
    <xf numFmtId="49" fontId="4" fillId="3" borderId="15" xfId="5" applyNumberFormat="1" applyFont="1" applyFill="1" applyBorder="1" applyAlignment="1" applyProtection="1">
      <alignment horizontal="center" vertical="center"/>
      <protection locked="0"/>
    </xf>
    <xf numFmtId="49" fontId="4" fillId="3" borderId="81" xfId="5" applyNumberFormat="1" applyFont="1" applyFill="1" applyBorder="1" applyAlignment="1" applyProtection="1">
      <alignment horizontal="center" vertical="center"/>
      <protection locked="0"/>
    </xf>
    <xf numFmtId="49" fontId="4" fillId="3" borderId="29" xfId="5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/>
    <xf numFmtId="49" fontId="4" fillId="3" borderId="4" xfId="5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5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5" applyNumberFormat="1" applyFont="1" applyFill="1" applyBorder="1" applyAlignment="1" applyProtection="1">
      <alignment horizontal="center" vertical="center"/>
      <protection locked="0"/>
    </xf>
    <xf numFmtId="0" fontId="6" fillId="0" borderId="1" xfId="5" applyFont="1" applyBorder="1" applyAlignment="1" applyProtection="1">
      <alignment horizontal="center" vertical="center"/>
      <protection locked="0"/>
    </xf>
    <xf numFmtId="0" fontId="4" fillId="3" borderId="4" xfId="0" applyFont="1" applyFill="1" applyBorder="1"/>
    <xf numFmtId="3" fontId="4" fillId="3" borderId="4" xfId="0" applyNumberFormat="1" applyFont="1" applyFill="1" applyBorder="1"/>
    <xf numFmtId="3" fontId="4" fillId="3" borderId="4" xfId="0" applyNumberFormat="1" applyFont="1" applyFill="1" applyBorder="1" applyAlignment="1">
      <alignment horizontal="center"/>
    </xf>
    <xf numFmtId="0" fontId="4" fillId="0" borderId="0" xfId="0" applyFont="1"/>
    <xf numFmtId="0" fontId="59" fillId="0" borderId="2" xfId="0" applyFont="1" applyBorder="1" applyAlignment="1">
      <alignment vertical="center"/>
    </xf>
    <xf numFmtId="4" fontId="59" fillId="4" borderId="2" xfId="0" applyNumberFormat="1" applyFont="1" applyFill="1" applyBorder="1" applyAlignment="1">
      <alignment horizontal="left" wrapText="1"/>
    </xf>
    <xf numFmtId="3" fontId="59" fillId="0" borderId="2" xfId="0" applyNumberFormat="1" applyFont="1" applyBorder="1"/>
    <xf numFmtId="3" fontId="59" fillId="0" borderId="2" xfId="0" applyNumberFormat="1" applyFont="1" applyBorder="1" applyAlignment="1">
      <alignment vertical="center"/>
    </xf>
    <xf numFmtId="3" fontId="59" fillId="4" borderId="2" xfId="0" applyNumberFormat="1" applyFont="1" applyFill="1" applyBorder="1" applyAlignment="1">
      <alignment vertical="center"/>
    </xf>
    <xf numFmtId="3" fontId="59" fillId="4" borderId="2" xfId="0" applyNumberFormat="1" applyFont="1" applyFill="1" applyBorder="1"/>
    <xf numFmtId="3" fontId="59" fillId="0" borderId="0" xfId="0" applyNumberFormat="1" applyFont="1"/>
    <xf numFmtId="0" fontId="59" fillId="0" borderId="3" xfId="0" applyFont="1" applyBorder="1"/>
    <xf numFmtId="3" fontId="59" fillId="0" borderId="3" xfId="0" applyNumberFormat="1" applyFont="1" applyBorder="1"/>
    <xf numFmtId="3" fontId="66" fillId="0" borderId="3" xfId="0" applyNumberFormat="1" applyFont="1" applyBorder="1"/>
    <xf numFmtId="0" fontId="66" fillId="0" borderId="0" xfId="0" applyFont="1"/>
    <xf numFmtId="0" fontId="59" fillId="0" borderId="3" xfId="0" applyFont="1" applyBorder="1" applyAlignment="1">
      <alignment vertical="center"/>
    </xf>
    <xf numFmtId="49" fontId="59" fillId="0" borderId="3" xfId="1" applyNumberFormat="1" applyFont="1" applyBorder="1" applyAlignment="1">
      <alignment horizontal="left" vertical="center" wrapText="1"/>
    </xf>
    <xf numFmtId="3" fontId="59" fillId="0" borderId="3" xfId="0" applyNumberFormat="1" applyFont="1" applyBorder="1" applyAlignment="1">
      <alignment vertical="center"/>
    </xf>
    <xf numFmtId="3" fontId="59" fillId="4" borderId="3" xfId="0" applyNumberFormat="1" applyFont="1" applyFill="1" applyBorder="1"/>
    <xf numFmtId="49" fontId="59" fillId="0" borderId="27" xfId="1" applyNumberFormat="1" applyFont="1" applyBorder="1" applyAlignment="1">
      <alignment horizontal="left" vertical="center" wrapText="1"/>
    </xf>
    <xf numFmtId="0" fontId="4" fillId="3" borderId="1" xfId="0" applyFont="1" applyFill="1" applyBorder="1"/>
    <xf numFmtId="3" fontId="4" fillId="3" borderId="1" xfId="0" applyNumberFormat="1" applyFont="1" applyFill="1" applyBorder="1"/>
    <xf numFmtId="3" fontId="4" fillId="0" borderId="0" xfId="0" applyNumberFormat="1" applyFont="1"/>
    <xf numFmtId="0" fontId="4" fillId="0" borderId="2" xfId="0" quotePrefix="1" applyFont="1" applyBorder="1"/>
    <xf numFmtId="0" fontId="4" fillId="0" borderId="2" xfId="0" applyFont="1" applyBorder="1"/>
    <xf numFmtId="3" fontId="4" fillId="0" borderId="2" xfId="0" applyNumberFormat="1" applyFont="1" applyBorder="1"/>
    <xf numFmtId="0" fontId="59" fillId="0" borderId="3" xfId="0" quotePrefix="1" applyFont="1" applyBorder="1"/>
    <xf numFmtId="0" fontId="66" fillId="0" borderId="3" xfId="0" applyFont="1" applyBorder="1"/>
    <xf numFmtId="3" fontId="67" fillId="0" borderId="3" xfId="0" applyNumberFormat="1" applyFont="1" applyBorder="1"/>
    <xf numFmtId="3" fontId="68" fillId="0" borderId="3" xfId="0" applyNumberFormat="1" applyFont="1" applyBorder="1"/>
    <xf numFmtId="0" fontId="59" fillId="4" borderId="3" xfId="0" applyFont="1" applyFill="1" applyBorder="1"/>
    <xf numFmtId="3" fontId="68" fillId="4" borderId="3" xfId="0" applyNumberFormat="1" applyFont="1" applyFill="1" applyBorder="1"/>
    <xf numFmtId="0" fontId="66" fillId="4" borderId="3" xfId="0" applyFont="1" applyFill="1" applyBorder="1"/>
    <xf numFmtId="3" fontId="66" fillId="4" borderId="3" xfId="0" applyNumberFormat="1" applyFont="1" applyFill="1" applyBorder="1"/>
    <xf numFmtId="3" fontId="67" fillId="4" borderId="3" xfId="0" applyNumberFormat="1" applyFont="1" applyFill="1" applyBorder="1"/>
    <xf numFmtId="0" fontId="66" fillId="0" borderId="3" xfId="0" quotePrefix="1" applyFont="1" applyBorder="1"/>
    <xf numFmtId="0" fontId="66" fillId="4" borderId="3" xfId="0" quotePrefix="1" applyFont="1" applyFill="1" applyBorder="1"/>
    <xf numFmtId="0" fontId="4" fillId="0" borderId="3" xfId="0" quotePrefix="1" applyFont="1" applyBorder="1"/>
    <xf numFmtId="0" fontId="4" fillId="0" borderId="3" xfId="0" applyFont="1" applyBorder="1"/>
    <xf numFmtId="3" fontId="4" fillId="0" borderId="3" xfId="0" applyNumberFormat="1" applyFont="1" applyBorder="1"/>
    <xf numFmtId="3" fontId="69" fillId="0" borderId="3" xfId="0" applyNumberFormat="1" applyFont="1" applyBorder="1"/>
    <xf numFmtId="0" fontId="59" fillId="4" borderId="3" xfId="0" quotePrefix="1" applyFont="1" applyFill="1" applyBorder="1"/>
    <xf numFmtId="0" fontId="59" fillId="0" borderId="3" xfId="0" applyFont="1" applyBorder="1" applyAlignment="1">
      <alignment wrapText="1"/>
    </xf>
    <xf numFmtId="14" fontId="4" fillId="0" borderId="3" xfId="0" applyNumberFormat="1" applyFont="1" applyBorder="1"/>
    <xf numFmtId="14" fontId="59" fillId="0" borderId="4" xfId="0" applyNumberFormat="1" applyFont="1" applyBorder="1"/>
    <xf numFmtId="0" fontId="59" fillId="0" borderId="4" xfId="0" applyFont="1" applyBorder="1"/>
    <xf numFmtId="3" fontId="59" fillId="0" borderId="4" xfId="0" applyNumberFormat="1" applyFont="1" applyBorder="1"/>
    <xf numFmtId="3" fontId="68" fillId="0" borderId="4" xfId="0" applyNumberFormat="1" applyFont="1" applyBorder="1"/>
    <xf numFmtId="3" fontId="69" fillId="3" borderId="1" xfId="0" applyNumberFormat="1" applyFont="1" applyFill="1" applyBorder="1"/>
    <xf numFmtId="3" fontId="59" fillId="0" borderId="3" xfId="0" applyNumberFormat="1" applyFont="1" applyBorder="1" applyAlignment="1">
      <alignment horizontal="right" vertical="center"/>
    </xf>
    <xf numFmtId="3" fontId="68" fillId="0" borderId="3" xfId="0" applyNumberFormat="1" applyFont="1" applyBorder="1" applyAlignment="1">
      <alignment horizontal="right" vertical="center"/>
    </xf>
    <xf numFmtId="3" fontId="59" fillId="4" borderId="3" xfId="0" applyNumberFormat="1" applyFont="1" applyFill="1" applyBorder="1" applyAlignment="1">
      <alignment vertical="center"/>
    </xf>
    <xf numFmtId="0" fontId="59" fillId="0" borderId="3" xfId="0" applyFont="1" applyBorder="1" applyAlignment="1">
      <alignment vertical="top" wrapText="1"/>
    </xf>
    <xf numFmtId="3" fontId="59" fillId="4" borderId="3" xfId="0" applyNumberFormat="1" applyFont="1" applyFill="1" applyBorder="1" applyAlignment="1">
      <alignment horizontal="right" vertical="center"/>
    </xf>
    <xf numFmtId="0" fontId="59" fillId="0" borderId="3" xfId="0" applyFont="1" applyBorder="1" applyAlignment="1">
      <alignment vertical="center" wrapText="1"/>
    </xf>
    <xf numFmtId="3" fontId="59" fillId="4" borderId="4" xfId="0" applyNumberFormat="1" applyFont="1" applyFill="1" applyBorder="1"/>
    <xf numFmtId="0" fontId="59" fillId="3" borderId="1" xfId="0" applyFont="1" applyFill="1" applyBorder="1"/>
    <xf numFmtId="0" fontId="2" fillId="0" borderId="0" xfId="5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49" fontId="2" fillId="0" borderId="0" xfId="1" applyNumberFormat="1" applyFont="1" applyAlignment="1" applyProtection="1">
      <alignment horizontal="right" wrapText="1"/>
      <protection locked="0"/>
    </xf>
    <xf numFmtId="49" fontId="3" fillId="13" borderId="44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5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2" xfId="1" applyNumberFormat="1" applyFont="1" applyFill="1" applyBorder="1" applyAlignment="1" applyProtection="1">
      <alignment horizontal="center" vertical="center" wrapText="1"/>
      <protection locked="0"/>
    </xf>
    <xf numFmtId="2" fontId="3" fillId="13" borderId="44" xfId="1" applyNumberFormat="1" applyFont="1" applyFill="1" applyBorder="1" applyAlignment="1" applyProtection="1">
      <alignment horizontal="center" vertical="center" wrapText="1"/>
      <protection locked="0"/>
    </xf>
    <xf numFmtId="2" fontId="3" fillId="13" borderId="5" xfId="1" applyNumberFormat="1" applyFont="1" applyFill="1" applyBorder="1" applyAlignment="1" applyProtection="1">
      <alignment horizontal="center" vertical="center" wrapText="1"/>
      <protection locked="0"/>
    </xf>
    <xf numFmtId="2" fontId="3" fillId="13" borderId="152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5" xfId="1" applyNumberFormat="1" applyFont="1" applyFill="1" applyBorder="1" applyAlignment="1" applyProtection="1">
      <alignment horizontal="center" vertical="center"/>
      <protection locked="0"/>
    </xf>
    <xf numFmtId="49" fontId="3" fillId="13" borderId="152" xfId="1" applyNumberFormat="1" applyFont="1" applyFill="1" applyBorder="1" applyAlignment="1" applyProtection="1">
      <alignment horizontal="center" vertical="center"/>
      <protection locked="0"/>
    </xf>
    <xf numFmtId="49" fontId="3" fillId="13" borderId="14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0" xfId="1" applyNumberFormat="1" applyFont="1" applyFill="1" applyAlignment="1" applyProtection="1">
      <alignment horizontal="center" vertical="center" wrapText="1"/>
      <protection locked="0"/>
    </xf>
    <xf numFmtId="49" fontId="3" fillId="13" borderId="3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1" xfId="1" applyNumberFormat="1" applyFont="1" applyFill="1" applyBorder="1" applyAlignment="1" applyProtection="1">
      <alignment horizontal="center" vertical="center" wrapText="1"/>
      <protection locked="0"/>
    </xf>
    <xf numFmtId="2" fontId="3" fillId="13" borderId="15" xfId="1" applyNumberFormat="1" applyFont="1" applyFill="1" applyBorder="1" applyAlignment="1" applyProtection="1">
      <alignment horizontal="center" vertical="center" wrapText="1"/>
      <protection locked="0"/>
    </xf>
    <xf numFmtId="2" fontId="3" fillId="13" borderId="81" xfId="1" applyNumberFormat="1" applyFont="1" applyFill="1" applyBorder="1" applyAlignment="1" applyProtection="1">
      <alignment horizontal="center" vertical="center" wrapText="1"/>
      <protection locked="0"/>
    </xf>
    <xf numFmtId="2" fontId="3" fillId="13" borderId="81" xfId="1" applyNumberFormat="1" applyFont="1" applyFill="1" applyBorder="1" applyAlignment="1" applyProtection="1">
      <alignment horizontal="center" vertical="center" wrapText="1"/>
      <protection locked="0"/>
    </xf>
    <xf numFmtId="2" fontId="3" fillId="13" borderId="29" xfId="1" applyNumberFormat="1" applyFont="1" applyFill="1" applyBorder="1" applyAlignment="1" applyProtection="1">
      <alignment horizontal="center" vertical="center" wrapText="1"/>
      <protection locked="0"/>
    </xf>
    <xf numFmtId="49" fontId="3" fillId="13" borderId="0" xfId="1" applyNumberFormat="1" applyFont="1" applyFill="1" applyAlignment="1" applyProtection="1">
      <alignment horizontal="center" vertical="center"/>
      <protection locked="0"/>
    </xf>
    <xf numFmtId="49" fontId="3" fillId="13" borderId="27" xfId="1" applyNumberFormat="1" applyFont="1" applyFill="1" applyBorder="1" applyAlignment="1" applyProtection="1">
      <alignment horizontal="center" vertical="center"/>
      <protection locked="0"/>
    </xf>
    <xf numFmtId="49" fontId="3" fillId="13" borderId="14" xfId="1" applyNumberFormat="1" applyFont="1" applyFill="1" applyBorder="1" applyAlignment="1" applyProtection="1">
      <alignment horizontal="center" vertical="center"/>
      <protection locked="0"/>
    </xf>
    <xf numFmtId="49" fontId="2" fillId="13" borderId="14" xfId="1" applyNumberFormat="1" applyFont="1" applyFill="1" applyBorder="1" applyAlignment="1" applyProtection="1">
      <alignment horizontal="center" vertical="center"/>
      <protection locked="0"/>
    </xf>
    <xf numFmtId="49" fontId="2" fillId="13" borderId="27" xfId="1" applyNumberFormat="1" applyFont="1" applyFill="1" applyBorder="1" applyAlignment="1" applyProtection="1">
      <alignment horizontal="center" vertical="center"/>
      <protection locked="0"/>
    </xf>
    <xf numFmtId="2" fontId="2" fillId="13" borderId="14" xfId="1" applyNumberFormat="1" applyFont="1" applyFill="1" applyBorder="1" applyAlignment="1" applyProtection="1">
      <alignment horizontal="center" vertical="center"/>
      <protection locked="0"/>
    </xf>
    <xf numFmtId="2" fontId="2" fillId="13" borderId="0" xfId="1" applyNumberFormat="1" applyFont="1" applyFill="1" applyAlignment="1" applyProtection="1">
      <alignment horizontal="center" vertical="center"/>
      <protection locked="0"/>
    </xf>
    <xf numFmtId="2" fontId="2" fillId="13" borderId="27" xfId="1" applyNumberFormat="1" applyFont="1" applyFill="1" applyBorder="1" applyAlignment="1" applyProtection="1">
      <alignment horizontal="center" vertical="center"/>
      <protection locked="0"/>
    </xf>
    <xf numFmtId="49" fontId="2" fillId="13" borderId="0" xfId="1" applyNumberFormat="1" applyFont="1" applyFill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81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vertical="center"/>
    </xf>
    <xf numFmtId="0" fontId="3" fillId="0" borderId="14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2" fontId="3" fillId="0" borderId="14" xfId="1" applyNumberFormat="1" applyFont="1" applyBorder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2" fontId="3" fillId="0" borderId="27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vertical="center"/>
    </xf>
    <xf numFmtId="0" fontId="2" fillId="0" borderId="14" xfId="1" applyFont="1" applyBorder="1" applyAlignment="1">
      <alignment horizontal="right" vertical="center"/>
    </xf>
    <xf numFmtId="0" fontId="2" fillId="0" borderId="0" xfId="1" applyFont="1" applyAlignment="1" applyProtection="1">
      <alignment vertical="center"/>
      <protection locked="0"/>
    </xf>
    <xf numFmtId="3" fontId="2" fillId="0" borderId="14" xfId="1" applyNumberFormat="1" applyFont="1" applyBorder="1" applyAlignment="1">
      <alignment vertical="center"/>
    </xf>
    <xf numFmtId="3" fontId="2" fillId="0" borderId="27" xfId="1" applyNumberFormat="1" applyFont="1" applyBorder="1" applyAlignment="1">
      <alignment vertical="center"/>
    </xf>
    <xf numFmtId="3" fontId="2" fillId="0" borderId="14" xfId="1" applyNumberFormat="1" applyFont="1" applyBorder="1" applyAlignment="1" applyProtection="1">
      <alignment vertical="center"/>
      <protection locked="0"/>
    </xf>
    <xf numFmtId="3" fontId="2" fillId="0" borderId="0" xfId="1" applyNumberFormat="1" applyFont="1" applyAlignment="1" applyProtection="1">
      <alignment vertical="center"/>
      <protection locked="0"/>
    </xf>
    <xf numFmtId="3" fontId="2" fillId="0" borderId="0" xfId="1" applyNumberFormat="1" applyFont="1" applyAlignment="1">
      <alignment vertical="center"/>
    </xf>
    <xf numFmtId="2" fontId="2" fillId="0" borderId="27" xfId="1" applyNumberFormat="1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27" xfId="1" applyNumberFormat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0" xfId="1" applyFont="1" applyAlignment="1" applyProtection="1">
      <alignment horizontal="left" vertical="center" wrapText="1"/>
      <protection locked="0"/>
    </xf>
    <xf numFmtId="0" fontId="2" fillId="4" borderId="0" xfId="1" applyFont="1" applyFill="1" applyAlignment="1" applyProtection="1">
      <alignment horizontal="left" vertical="center" wrapText="1"/>
      <protection locked="0"/>
    </xf>
    <xf numFmtId="3" fontId="2" fillId="4" borderId="14" xfId="1" applyNumberFormat="1" applyFont="1" applyFill="1" applyBorder="1" applyAlignment="1" applyProtection="1">
      <alignment vertical="center"/>
      <protection locked="0"/>
    </xf>
    <xf numFmtId="3" fontId="2" fillId="4" borderId="27" xfId="1" applyNumberFormat="1" applyFont="1" applyFill="1" applyBorder="1" applyAlignment="1">
      <alignment vertical="center"/>
    </xf>
    <xf numFmtId="3" fontId="2" fillId="4" borderId="0" xfId="1" applyNumberFormat="1" applyFont="1" applyFill="1" applyAlignment="1" applyProtection="1">
      <alignment vertical="center"/>
      <protection locked="0"/>
    </xf>
    <xf numFmtId="3" fontId="2" fillId="4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center" vertical="center"/>
    </xf>
    <xf numFmtId="3" fontId="70" fillId="0" borderId="14" xfId="1" applyNumberFormat="1" applyFont="1" applyBorder="1" applyAlignment="1" applyProtection="1">
      <alignment vertical="center"/>
      <protection locked="0"/>
    </xf>
    <xf numFmtId="3" fontId="70" fillId="0" borderId="27" xfId="1" applyNumberFormat="1" applyFont="1" applyBorder="1" applyAlignment="1">
      <alignment vertical="center"/>
    </xf>
    <xf numFmtId="3" fontId="70" fillId="0" borderId="0" xfId="1" applyNumberFormat="1" applyFont="1" applyAlignment="1" applyProtection="1">
      <alignment vertical="center"/>
      <protection locked="0"/>
    </xf>
    <xf numFmtId="3" fontId="70" fillId="0" borderId="0" xfId="1" applyNumberFormat="1" applyFont="1" applyAlignment="1">
      <alignment vertical="center"/>
    </xf>
    <xf numFmtId="2" fontId="70" fillId="0" borderId="27" xfId="1" applyNumberFormat="1" applyFont="1" applyBorder="1" applyAlignment="1">
      <alignment vertical="center"/>
    </xf>
    <xf numFmtId="164" fontId="70" fillId="0" borderId="0" xfId="1" applyNumberFormat="1" applyFont="1" applyAlignment="1">
      <alignment vertical="center"/>
    </xf>
    <xf numFmtId="164" fontId="70" fillId="0" borderId="27" xfId="1" applyNumberFormat="1" applyFont="1" applyBorder="1" applyAlignment="1">
      <alignment vertical="center"/>
    </xf>
    <xf numFmtId="0" fontId="3" fillId="0" borderId="41" xfId="1" applyFont="1" applyBorder="1" applyAlignment="1">
      <alignment horizontal="center" vertical="center"/>
    </xf>
    <xf numFmtId="0" fontId="3" fillId="0" borderId="32" xfId="1" applyFont="1" applyBorder="1" applyAlignment="1" applyProtection="1">
      <alignment vertical="center" wrapText="1"/>
      <protection locked="0"/>
    </xf>
    <xf numFmtId="3" fontId="3" fillId="0" borderId="41" xfId="1" applyNumberFormat="1" applyFont="1" applyBorder="1" applyAlignment="1">
      <alignment vertical="center"/>
    </xf>
    <xf numFmtId="3" fontId="3" fillId="0" borderId="35" xfId="1" applyNumberFormat="1" applyFont="1" applyBorder="1" applyAlignment="1">
      <alignment vertical="center"/>
    </xf>
    <xf numFmtId="3" fontId="3" fillId="0" borderId="32" xfId="1" applyNumberFormat="1" applyFont="1" applyBorder="1" applyAlignment="1">
      <alignment vertical="center"/>
    </xf>
    <xf numFmtId="2" fontId="3" fillId="0" borderId="35" xfId="1" applyNumberFormat="1" applyFont="1" applyBorder="1" applyAlignment="1">
      <alignment vertical="center"/>
    </xf>
    <xf numFmtId="164" fontId="3" fillId="0" borderId="32" xfId="1" applyNumberFormat="1" applyFont="1" applyBorder="1" applyAlignment="1">
      <alignment vertical="center"/>
    </xf>
    <xf numFmtId="164" fontId="3" fillId="0" borderId="35" xfId="1" applyNumberFormat="1" applyFont="1" applyBorder="1" applyAlignment="1">
      <alignment vertical="center"/>
    </xf>
    <xf numFmtId="0" fontId="3" fillId="0" borderId="0" xfId="1" applyFont="1"/>
    <xf numFmtId="3" fontId="2" fillId="0" borderId="0" xfId="1" applyNumberFormat="1" applyFont="1"/>
    <xf numFmtId="0" fontId="2" fillId="0" borderId="0" xfId="1" applyFont="1" applyAlignment="1" applyProtection="1">
      <alignment horizontal="left" vertical="center"/>
      <protection locked="0"/>
    </xf>
    <xf numFmtId="0" fontId="71" fillId="0" borderId="0" xfId="5" applyFont="1" applyAlignment="1">
      <alignment vertical="center"/>
    </xf>
    <xf numFmtId="0" fontId="71" fillId="0" borderId="0" xfId="5" applyFont="1"/>
    <xf numFmtId="0" fontId="2" fillId="0" borderId="0" xfId="5" applyFont="1"/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49" fontId="4" fillId="3" borderId="125" xfId="5" applyNumberFormat="1" applyFont="1" applyFill="1" applyBorder="1" applyAlignment="1" applyProtection="1">
      <alignment horizontal="center" vertical="center" wrapText="1"/>
      <protection locked="0"/>
    </xf>
    <xf numFmtId="49" fontId="4" fillId="3" borderId="126" xfId="5" applyNumberFormat="1" applyFont="1" applyFill="1" applyBorder="1" applyAlignment="1" applyProtection="1">
      <alignment horizontal="center" vertical="center" wrapText="1"/>
      <protection locked="0"/>
    </xf>
    <xf numFmtId="49" fontId="4" fillId="3" borderId="180" xfId="5" applyNumberFormat="1" applyFont="1" applyFill="1" applyBorder="1" applyAlignment="1" applyProtection="1">
      <alignment horizontal="center" vertical="center" wrapText="1"/>
      <protection locked="0"/>
    </xf>
    <xf numFmtId="49" fontId="4" fillId="3" borderId="28" xfId="5" applyNumberFormat="1" applyFont="1" applyFill="1" applyBorder="1" applyAlignment="1" applyProtection="1">
      <alignment horizontal="center" vertical="center"/>
      <protection locked="0"/>
    </xf>
    <xf numFmtId="49" fontId="4" fillId="3" borderId="42" xfId="5" applyNumberFormat="1" applyFont="1" applyFill="1" applyBorder="1" applyAlignment="1" applyProtection="1">
      <alignment horizontal="center" vertical="center" wrapText="1"/>
      <protection locked="0"/>
    </xf>
    <xf numFmtId="0" fontId="6" fillId="0" borderId="36" xfId="5" applyFont="1" applyBorder="1" applyAlignment="1" applyProtection="1">
      <alignment horizontal="center" vertical="center"/>
      <protection locked="0"/>
    </xf>
    <xf numFmtId="0" fontId="6" fillId="0" borderId="37" xfId="5" applyFont="1" applyBorder="1" applyAlignment="1" applyProtection="1">
      <alignment horizontal="center" vertical="center"/>
      <protection locked="0"/>
    </xf>
    <xf numFmtId="0" fontId="6" fillId="0" borderId="39" xfId="5" applyFont="1" applyBorder="1" applyAlignment="1" applyProtection="1">
      <alignment horizontal="center" vertical="center"/>
      <protection locked="0"/>
    </xf>
    <xf numFmtId="0" fontId="4" fillId="3" borderId="28" xfId="0" applyFont="1" applyFill="1" applyBorder="1"/>
    <xf numFmtId="3" fontId="4" fillId="3" borderId="17" xfId="0" applyNumberFormat="1" applyFont="1" applyFill="1" applyBorder="1"/>
    <xf numFmtId="14" fontId="59" fillId="0" borderId="28" xfId="0" applyNumberFormat="1" applyFont="1" applyBorder="1"/>
    <xf numFmtId="0" fontId="59" fillId="4" borderId="3" xfId="0" applyFont="1" applyFill="1" applyBorder="1" applyAlignment="1">
      <alignment wrapText="1"/>
    </xf>
    <xf numFmtId="3" fontId="59" fillId="0" borderId="17" xfId="0" applyNumberFormat="1" applyFont="1" applyBorder="1"/>
    <xf numFmtId="0" fontId="59" fillId="4" borderId="1" xfId="0" applyFont="1" applyFill="1" applyBorder="1" applyAlignment="1">
      <alignment wrapText="1"/>
    </xf>
    <xf numFmtId="14" fontId="59" fillId="0" borderId="28" xfId="0" applyNumberFormat="1" applyFont="1" applyBorder="1" applyAlignment="1">
      <alignment vertical="center"/>
    </xf>
    <xf numFmtId="3" fontId="59" fillId="0" borderId="17" xfId="0" applyNumberFormat="1" applyFont="1" applyBorder="1" applyAlignment="1">
      <alignment vertical="center"/>
    </xf>
    <xf numFmtId="14" fontId="4" fillId="3" borderId="28" xfId="0" applyNumberFormat="1" applyFont="1" applyFill="1" applyBorder="1"/>
    <xf numFmtId="0" fontId="4" fillId="3" borderId="1" xfId="0" applyFont="1" applyFill="1" applyBorder="1" applyAlignment="1">
      <alignment wrapText="1"/>
    </xf>
    <xf numFmtId="14" fontId="4" fillId="0" borderId="28" xfId="0" applyNumberFormat="1" applyFont="1" applyBorder="1"/>
    <xf numFmtId="0" fontId="4" fillId="4" borderId="1" xfId="0" applyFont="1" applyFill="1" applyBorder="1" applyAlignment="1">
      <alignment wrapText="1"/>
    </xf>
    <xf numFmtId="3" fontId="4" fillId="0" borderId="17" xfId="0" applyNumberFormat="1" applyFont="1" applyBorder="1"/>
    <xf numFmtId="0" fontId="4" fillId="3" borderId="40" xfId="0" applyFont="1" applyFill="1" applyBorder="1"/>
    <xf numFmtId="3" fontId="4" fillId="3" borderId="42" xfId="1" applyNumberFormat="1" applyFont="1" applyFill="1" applyBorder="1" applyAlignment="1" applyProtection="1">
      <alignment vertical="center" wrapText="1"/>
      <protection locked="0"/>
    </xf>
    <xf numFmtId="0" fontId="59" fillId="0" borderId="40" xfId="0" applyFont="1" applyBorder="1" applyAlignment="1">
      <alignment vertical="center"/>
    </xf>
    <xf numFmtId="0" fontId="59" fillId="0" borderId="1" xfId="0" applyFont="1" applyBorder="1" applyAlignment="1">
      <alignment wrapText="1"/>
    </xf>
    <xf numFmtId="3" fontId="59" fillId="0" borderId="42" xfId="1" applyNumberFormat="1" applyFont="1" applyBorder="1" applyAlignment="1" applyProtection="1">
      <alignment vertical="center" wrapText="1"/>
      <protection locked="0"/>
    </xf>
    <xf numFmtId="0" fontId="59" fillId="0" borderId="1" xfId="0" applyFont="1" applyBorder="1" applyAlignment="1">
      <alignment vertical="top" wrapText="1"/>
    </xf>
    <xf numFmtId="0" fontId="59" fillId="3" borderId="36" xfId="0" applyFont="1" applyFill="1" applyBorder="1" applyAlignment="1">
      <alignment vertical="center"/>
    </xf>
    <xf numFmtId="0" fontId="4" fillId="3" borderId="37" xfId="0" applyFont="1" applyFill="1" applyBorder="1"/>
    <xf numFmtId="3" fontId="4" fillId="3" borderId="39" xfId="0" applyNumberFormat="1" applyFont="1" applyFill="1" applyBorder="1"/>
    <xf numFmtId="0" fontId="5" fillId="0" borderId="0" xfId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2" fillId="4" borderId="209" xfId="0" applyFont="1" applyFill="1" applyBorder="1" applyAlignment="1">
      <alignment horizontal="center" vertical="center" wrapText="1"/>
    </xf>
    <xf numFmtId="0" fontId="2" fillId="4" borderId="179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10" xfId="0" applyFont="1" applyFill="1" applyBorder="1" applyAlignment="1">
      <alignment horizontal="center" vertical="center" wrapText="1"/>
    </xf>
    <xf numFmtId="0" fontId="2" fillId="4" borderId="210" xfId="0" applyFont="1" applyFill="1" applyBorder="1" applyAlignment="1" applyProtection="1">
      <alignment horizontal="center" vertical="center" wrapText="1"/>
      <protection locked="0"/>
    </xf>
    <xf numFmtId="0" fontId="1" fillId="4" borderId="180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51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42" xfId="0" quotePrefix="1" applyFont="1" applyFill="1" applyBorder="1" applyAlignment="1">
      <alignment horizontal="center" vertical="center"/>
    </xf>
    <xf numFmtId="0" fontId="6" fillId="4" borderId="211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 wrapText="1"/>
    </xf>
    <xf numFmtId="0" fontId="6" fillId="4" borderId="132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4" borderId="20" xfId="0" applyFont="1" applyFill="1" applyBorder="1" applyAlignment="1">
      <alignment horizontal="center" vertical="center"/>
    </xf>
    <xf numFmtId="0" fontId="72" fillId="4" borderId="179" xfId="0" applyFont="1" applyFill="1" applyBorder="1" applyAlignment="1">
      <alignment horizontal="left" vertical="center" wrapText="1"/>
    </xf>
    <xf numFmtId="0" fontId="72" fillId="4" borderId="21" xfId="0" applyFont="1" applyFill="1" applyBorder="1" applyAlignment="1">
      <alignment horizontal="left" vertical="center" wrapText="1"/>
    </xf>
    <xf numFmtId="0" fontId="2" fillId="4" borderId="210" xfId="0" applyFont="1" applyFill="1" applyBorder="1" applyAlignment="1">
      <alignment horizontal="center" vertical="center"/>
    </xf>
    <xf numFmtId="0" fontId="2" fillId="4" borderId="18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4" borderId="57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167" fontId="2" fillId="4" borderId="3" xfId="0" applyNumberFormat="1" applyFont="1" applyFill="1" applyBorder="1" applyAlignment="1" applyProtection="1">
      <alignment horizontal="center" vertical="center"/>
      <protection locked="0"/>
    </xf>
    <xf numFmtId="167" fontId="2" fillId="4" borderId="151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horizontal="right" vertical="center" wrapText="1"/>
    </xf>
    <xf numFmtId="167" fontId="2" fillId="4" borderId="4" xfId="0" applyNumberFormat="1" applyFont="1" applyFill="1" applyBorder="1" applyAlignment="1" applyProtection="1">
      <alignment horizontal="center" vertical="center"/>
      <protection locked="0"/>
    </xf>
    <xf numFmtId="167" fontId="2" fillId="4" borderId="42" xfId="0" applyNumberFormat="1" applyFont="1" applyFill="1" applyBorder="1" applyAlignment="1">
      <alignment horizontal="center" vertical="center"/>
    </xf>
    <xf numFmtId="0" fontId="1" fillId="4" borderId="212" xfId="0" applyFont="1" applyFill="1" applyBorder="1" applyAlignment="1">
      <alignment horizontal="right" vertical="center"/>
    </xf>
    <xf numFmtId="0" fontId="3" fillId="4" borderId="44" xfId="0" applyFont="1" applyFill="1" applyBorder="1" applyAlignment="1">
      <alignment vertical="center" wrapText="1"/>
    </xf>
    <xf numFmtId="0" fontId="3" fillId="4" borderId="152" xfId="0" applyFont="1" applyFill="1" applyBorder="1" applyAlignment="1">
      <alignment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 applyProtection="1">
      <alignment horizontal="center" vertical="center"/>
      <protection locked="0"/>
    </xf>
    <xf numFmtId="167" fontId="2" fillId="4" borderId="45" xfId="0" applyNumberFormat="1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right" vertical="center"/>
    </xf>
    <xf numFmtId="0" fontId="2" fillId="4" borderId="41" xfId="0" quotePrefix="1" applyFont="1" applyFill="1" applyBorder="1" applyAlignment="1">
      <alignment vertical="center" wrapText="1"/>
    </xf>
    <xf numFmtId="0" fontId="2" fillId="4" borderId="35" xfId="0" quotePrefix="1" applyFont="1" applyFill="1" applyBorder="1" applyAlignment="1">
      <alignment horizontal="right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 applyProtection="1">
      <alignment horizontal="center" vertical="center"/>
      <protection locked="0"/>
    </xf>
    <xf numFmtId="167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40" xfId="0" applyFont="1" applyFill="1" applyBorder="1" applyAlignment="1">
      <alignment vertical="center"/>
    </xf>
    <xf numFmtId="3" fontId="2" fillId="4" borderId="4" xfId="0" applyNumberFormat="1" applyFont="1" applyFill="1" applyBorder="1" applyAlignment="1">
      <alignment horizontal="center" vertical="center"/>
    </xf>
    <xf numFmtId="167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>
      <alignment horizontal="right" vertical="center"/>
    </xf>
    <xf numFmtId="0" fontId="3" fillId="4" borderId="14" xfId="0" quotePrefix="1" applyFont="1" applyFill="1" applyBorder="1" applyAlignment="1">
      <alignment vertical="center" wrapText="1"/>
    </xf>
    <xf numFmtId="0" fontId="3" fillId="4" borderId="27" xfId="0" quotePrefix="1" applyFont="1" applyFill="1" applyBorder="1" applyAlignment="1">
      <alignment vertical="center" wrapText="1"/>
    </xf>
    <xf numFmtId="0" fontId="2" fillId="4" borderId="31" xfId="0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44" xfId="0" quotePrefix="1" applyFont="1" applyFill="1" applyBorder="1" applyAlignment="1">
      <alignment vertical="center" wrapText="1"/>
    </xf>
    <xf numFmtId="0" fontId="3" fillId="4" borderId="152" xfId="0" quotePrefix="1" applyFont="1" applyFill="1" applyBorder="1" applyAlignment="1">
      <alignment vertical="center" wrapText="1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26" xfId="0" applyFont="1" applyFill="1" applyBorder="1" applyAlignment="1">
      <alignment vertical="center"/>
    </xf>
    <xf numFmtId="0" fontId="2" fillId="4" borderId="14" xfId="0" quotePrefix="1" applyFont="1" applyFill="1" applyBorder="1" applyAlignment="1">
      <alignment vertical="center" wrapText="1"/>
    </xf>
    <xf numFmtId="0" fontId="2" fillId="4" borderId="27" xfId="0" quotePrefix="1" applyFont="1" applyFill="1" applyBorder="1" applyAlignment="1">
      <alignment horizontal="right" vertical="center" wrapText="1"/>
    </xf>
    <xf numFmtId="0" fontId="2" fillId="4" borderId="212" xfId="0" applyFont="1" applyFill="1" applyBorder="1" applyAlignment="1">
      <alignment horizontal="right" vertical="center"/>
    </xf>
    <xf numFmtId="167" fontId="2" fillId="4" borderId="2" xfId="0" applyNumberFormat="1" applyFont="1" applyFill="1" applyBorder="1" applyAlignment="1">
      <alignment horizontal="center" vertical="center" wrapText="1"/>
    </xf>
    <xf numFmtId="0" fontId="1" fillId="4" borderId="213" xfId="0" applyFont="1" applyFill="1" applyBorder="1" applyAlignment="1">
      <alignment horizontal="right" vertical="center"/>
    </xf>
    <xf numFmtId="0" fontId="2" fillId="4" borderId="166" xfId="0" applyFont="1" applyFill="1" applyBorder="1" applyAlignment="1">
      <alignment vertical="center" wrapText="1"/>
    </xf>
    <xf numFmtId="0" fontId="2" fillId="4" borderId="167" xfId="0" applyFont="1" applyFill="1" applyBorder="1" applyAlignment="1">
      <alignment horizontal="right" vertical="center" wrapText="1"/>
    </xf>
    <xf numFmtId="167" fontId="2" fillId="4" borderId="168" xfId="0" applyNumberFormat="1" applyFont="1" applyFill="1" applyBorder="1" applyAlignment="1">
      <alignment horizontal="center" vertical="center" wrapText="1"/>
    </xf>
    <xf numFmtId="164" fontId="1" fillId="4" borderId="168" xfId="0" applyNumberFormat="1" applyFont="1" applyFill="1" applyBorder="1" applyAlignment="1" applyProtection="1">
      <alignment horizontal="center" vertical="center"/>
      <protection locked="0"/>
    </xf>
    <xf numFmtId="167" fontId="2" fillId="4" borderId="171" xfId="0" applyNumberFormat="1" applyFont="1" applyFill="1" applyBorder="1" applyAlignment="1">
      <alignment horizontal="center" vertical="center"/>
    </xf>
    <xf numFmtId="0" fontId="1" fillId="4" borderId="209" xfId="0" applyFont="1" applyFill="1" applyBorder="1" applyAlignment="1">
      <alignment horizontal="right" vertical="center"/>
    </xf>
    <xf numFmtId="0" fontId="72" fillId="4" borderId="179" xfId="0" quotePrefix="1" applyFont="1" applyFill="1" applyBorder="1" applyAlignment="1">
      <alignment vertical="center" wrapText="1"/>
    </xf>
    <xf numFmtId="0" fontId="72" fillId="4" borderId="21" xfId="0" quotePrefix="1" applyFont="1" applyFill="1" applyBorder="1" applyAlignment="1">
      <alignment vertical="center" wrapText="1"/>
    </xf>
    <xf numFmtId="167" fontId="1" fillId="4" borderId="210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vertical="center"/>
    </xf>
    <xf numFmtId="0" fontId="2" fillId="4" borderId="57" xfId="0" applyFont="1" applyFill="1" applyBorder="1" applyAlignment="1">
      <alignment horizontal="right" vertical="center"/>
    </xf>
    <xf numFmtId="0" fontId="72" fillId="4" borderId="14" xfId="0" quotePrefix="1" applyFont="1" applyFill="1" applyBorder="1" applyAlignment="1">
      <alignment vertical="center" wrapText="1"/>
    </xf>
    <xf numFmtId="0" fontId="72" fillId="4" borderId="27" xfId="0" quotePrefix="1" applyFont="1" applyFill="1" applyBorder="1" applyAlignment="1">
      <alignment vertical="center" wrapText="1"/>
    </xf>
    <xf numFmtId="167" fontId="1" fillId="4" borderId="3" xfId="0" applyNumberFormat="1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67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1" xfId="0" applyFont="1" applyFill="1" applyBorder="1" applyAlignment="1">
      <alignment vertical="center"/>
    </xf>
    <xf numFmtId="0" fontId="2" fillId="4" borderId="57" xfId="0" applyFont="1" applyFill="1" applyBorder="1" applyAlignment="1">
      <alignment horizontal="righ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right" wrapText="1"/>
    </xf>
    <xf numFmtId="167" fontId="1" fillId="4" borderId="3" xfId="0" applyNumberFormat="1" applyFont="1" applyFill="1" applyBorder="1" applyAlignment="1">
      <alignment vertical="center"/>
    </xf>
    <xf numFmtId="164" fontId="1" fillId="4" borderId="137" xfId="0" applyNumberFormat="1" applyFont="1" applyFill="1" applyBorder="1" applyAlignment="1" applyProtection="1">
      <alignment vertical="center"/>
      <protection locked="0"/>
    </xf>
    <xf numFmtId="164" fontId="2" fillId="4" borderId="214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horizontal="left" vertical="center" wrapText="1"/>
    </xf>
    <xf numFmtId="167" fontId="2" fillId="4" borderId="3" xfId="0" applyNumberFormat="1" applyFont="1" applyFill="1" applyBorder="1" applyAlignment="1">
      <alignment vertical="center"/>
    </xf>
    <xf numFmtId="164" fontId="2" fillId="4" borderId="3" xfId="0" applyNumberFormat="1" applyFont="1" applyFill="1" applyBorder="1" applyAlignment="1" applyProtection="1">
      <alignment vertical="center"/>
      <protection locked="0"/>
    </xf>
    <xf numFmtId="164" fontId="2" fillId="4" borderId="151" xfId="0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 applyProtection="1">
      <alignment vertical="center"/>
      <protection locked="0"/>
    </xf>
    <xf numFmtId="164" fontId="2" fillId="4" borderId="45" xfId="0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167" fontId="2" fillId="4" borderId="151" xfId="0" applyNumberFormat="1" applyFont="1" applyFill="1" applyBorder="1" applyAlignment="1">
      <alignment vertical="center"/>
    </xf>
    <xf numFmtId="0" fontId="1" fillId="4" borderId="215" xfId="0" applyFont="1" applyFill="1" applyBorder="1" applyAlignment="1">
      <alignment horizontal="right" vertical="center"/>
    </xf>
    <xf numFmtId="0" fontId="2" fillId="4" borderId="167" xfId="0" applyFont="1" applyFill="1" applyBorder="1" applyAlignment="1">
      <alignment horizontal="right" wrapText="1"/>
    </xf>
    <xf numFmtId="3" fontId="2" fillId="4" borderId="168" xfId="0" applyNumberFormat="1" applyFont="1" applyFill="1" applyBorder="1" applyAlignment="1">
      <alignment horizontal="center" vertical="center"/>
    </xf>
    <xf numFmtId="164" fontId="2" fillId="4" borderId="168" xfId="0" applyNumberFormat="1" applyFont="1" applyFill="1" applyBorder="1" applyAlignment="1">
      <alignment horizontal="center" vertical="center"/>
    </xf>
    <xf numFmtId="167" fontId="1" fillId="4" borderId="210" xfId="0" applyNumberFormat="1" applyFont="1" applyFill="1" applyBorder="1" applyAlignment="1">
      <alignment vertical="center" wrapText="1"/>
    </xf>
    <xf numFmtId="3" fontId="1" fillId="4" borderId="210" xfId="0" applyNumberFormat="1" applyFont="1" applyFill="1" applyBorder="1" applyAlignment="1" applyProtection="1">
      <alignment vertical="center"/>
      <protection locked="0"/>
    </xf>
    <xf numFmtId="167" fontId="2" fillId="4" borderId="180" xfId="0" applyNumberFormat="1" applyFont="1" applyFill="1" applyBorder="1" applyAlignment="1">
      <alignment vertical="center"/>
    </xf>
    <xf numFmtId="167" fontId="2" fillId="4" borderId="3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/>
    </xf>
    <xf numFmtId="167" fontId="1" fillId="4" borderId="168" xfId="0" applyNumberFormat="1" applyFont="1" applyFill="1" applyBorder="1" applyAlignment="1">
      <alignment horizontal="center" vertical="center"/>
    </xf>
    <xf numFmtId="164" fontId="1" fillId="4" borderId="168" xfId="0" applyNumberFormat="1" applyFont="1" applyFill="1" applyBorder="1" applyAlignment="1">
      <alignment horizontal="center" vertical="center"/>
    </xf>
    <xf numFmtId="167" fontId="2" fillId="4" borderId="171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left" vertical="center"/>
    </xf>
  </cellXfs>
  <cellStyles count="8">
    <cellStyle name="Normal" xfId="0" builtinId="0"/>
    <cellStyle name="Normal 2" xfId="1" xr:uid="{00000000-0005-0000-0000-000001000000}"/>
    <cellStyle name="Normal 2 9" xfId="5" xr:uid="{00000000-0005-0000-0000-000002000000}"/>
    <cellStyle name="Normal 3" xfId="4" xr:uid="{00000000-0005-0000-0000-000003000000}"/>
    <cellStyle name="Normal 4" xfId="7" xr:uid="{DEFBFB1A-9915-4347-9B9A-4E2487DB2B80}"/>
    <cellStyle name="Normal_Izvjesce I-III-2004" xfId="2" xr:uid="{00000000-0005-0000-0000-000004000000}"/>
    <cellStyle name="Normal_Izvjesce I-III-2004 2" xfId="3" xr:uid="{00000000-0005-0000-0000-000005000000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ice%20plana%20%2025%20-%20radne_MS_10%2012%202024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zgh-my.sharepoint.com/personal/msikic_zgh_hr/Documents/2.%20FINANCE&amp;REPORTING/1.%20Budgets-cashflows/a)%20Budgets-cashflows%20quarterly/2025/Plan/Copy%20of%20Copy%20of%20Tablice%20plana%20%2025%20-%20radne_MS_10%2012%202024_FINAL.xlsx" TargetMode="External"/><Relationship Id="rId1" Type="http://schemas.openxmlformats.org/officeDocument/2006/relationships/externalLinkPath" Target="Copy%20of%20Copy%20of%20Tablice%20plana%20%2025%20-%20radne_MS_10%2012%202024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š rdg"/>
      <sheetName val="analitika troškova"/>
      <sheetName val="analitika radna"/>
      <sheetName val="Obrazloženja"/>
      <sheetName val="prihodi aktivn sve usooredba"/>
      <sheetName val="zakup procj i plan"/>
      <sheetName val="sajmovi(A)"/>
      <sheetName val="DOGAĐANJA(A)"/>
      <sheetName val="zakup(A)"/>
      <sheetName val="WORD PLAN(A)"/>
      <sheetName val="GRAFOVI WORD (A)"/>
      <sheetName val="foi(A)"/>
      <sheetName val="energija(A)"/>
      <sheetName val="održavanje(A)"/>
      <sheetName val="Komunalna KTA"/>
      <sheetName val="prihodi povećanje RS"/>
      <sheetName val="proračuni"/>
      <sheetName val="razrada 42990010-11"/>
      <sheetName val="projekcija zakup"/>
      <sheetName val="plaće za novozaposlene"/>
      <sheetName val="naknade po novom ku"/>
      <sheetName val="naturalni"/>
      <sheetName val="dom ino-eur"/>
      <sheetName val="prihodi Grad"/>
      <sheetName val="zaposleni 1"/>
      <sheetName val="zaposleni 2"/>
      <sheetName val="rdg grad"/>
      <sheetName val="bilanca"/>
      <sheetName val="novčani"/>
      <sheetName val="pokazatelji"/>
      <sheetName val="invest1"/>
      <sheetName val="inv 2"/>
      <sheetName val="inv 3"/>
      <sheetName val="plaće"/>
      <sheetName val="Sheet2"/>
    </sheetNames>
    <sheetDataSet>
      <sheetData sheetId="0">
        <row r="10">
          <cell r="C10">
            <v>10182978</v>
          </cell>
          <cell r="F10">
            <v>11131000</v>
          </cell>
          <cell r="I10">
            <v>11652000</v>
          </cell>
          <cell r="L10">
            <v>12128000</v>
          </cell>
        </row>
        <row r="11">
          <cell r="C11">
            <v>5341</v>
          </cell>
          <cell r="F11">
            <v>5200</v>
          </cell>
          <cell r="I11">
            <v>6000</v>
          </cell>
          <cell r="L11">
            <v>6000</v>
          </cell>
        </row>
        <row r="12">
          <cell r="C12">
            <v>51402</v>
          </cell>
          <cell r="F12">
            <v>20000</v>
          </cell>
          <cell r="I12">
            <v>20000</v>
          </cell>
          <cell r="L12">
            <v>20000</v>
          </cell>
        </row>
        <row r="13">
          <cell r="C13">
            <v>24174</v>
          </cell>
          <cell r="F13">
            <v>60000</v>
          </cell>
          <cell r="I13">
            <v>60000</v>
          </cell>
          <cell r="L13">
            <v>60000</v>
          </cell>
        </row>
        <row r="14">
          <cell r="B14" t="str">
            <v>Prihodi od revalorizacije</v>
          </cell>
          <cell r="C14">
            <v>317306</v>
          </cell>
        </row>
        <row r="15">
          <cell r="C15">
            <v>3245086</v>
          </cell>
          <cell r="F15">
            <v>627800</v>
          </cell>
          <cell r="I15">
            <v>590000</v>
          </cell>
          <cell r="L15">
            <v>387000</v>
          </cell>
        </row>
        <row r="17">
          <cell r="C17">
            <v>13826287</v>
          </cell>
          <cell r="F17">
            <v>11844000</v>
          </cell>
          <cell r="I17">
            <v>12328000</v>
          </cell>
          <cell r="L17">
            <v>12601000</v>
          </cell>
        </row>
        <row r="18">
          <cell r="C18">
            <v>55738</v>
          </cell>
          <cell r="F18">
            <v>60000</v>
          </cell>
          <cell r="I18">
            <v>75000</v>
          </cell>
          <cell r="L18">
            <v>80000</v>
          </cell>
        </row>
        <row r="19">
          <cell r="C19">
            <v>13882025</v>
          </cell>
          <cell r="F19">
            <v>11904000</v>
          </cell>
          <cell r="I19">
            <v>12403000</v>
          </cell>
          <cell r="L19">
            <v>12681000</v>
          </cell>
        </row>
        <row r="23">
          <cell r="C23">
            <v>508372</v>
          </cell>
          <cell r="F23">
            <v>520000</v>
          </cell>
          <cell r="I23">
            <v>520000</v>
          </cell>
          <cell r="L23">
            <v>530000</v>
          </cell>
        </row>
        <row r="29">
          <cell r="C29">
            <v>11907114</v>
          </cell>
          <cell r="F29">
            <v>10200000</v>
          </cell>
          <cell r="I29">
            <v>10426000</v>
          </cell>
          <cell r="L29">
            <v>10790000</v>
          </cell>
        </row>
        <row r="31">
          <cell r="C31">
            <v>13081912</v>
          </cell>
          <cell r="F31">
            <v>10547000</v>
          </cell>
          <cell r="I31">
            <v>10769000</v>
          </cell>
          <cell r="L31">
            <v>10882000</v>
          </cell>
        </row>
        <row r="33">
          <cell r="C33">
            <v>63645</v>
          </cell>
          <cell r="I33">
            <v>294120</v>
          </cell>
          <cell r="L33">
            <v>323820</v>
          </cell>
        </row>
      </sheetData>
      <sheetData sheetId="1">
        <row r="7">
          <cell r="E7">
            <v>4811648</v>
          </cell>
          <cell r="F7">
            <v>2601000</v>
          </cell>
          <cell r="G7">
            <v>2732000</v>
          </cell>
          <cell r="H7">
            <v>2838000</v>
          </cell>
        </row>
        <row r="36">
          <cell r="E36">
            <v>2363308</v>
          </cell>
          <cell r="F36">
            <v>2822000</v>
          </cell>
          <cell r="G36">
            <v>2775000</v>
          </cell>
          <cell r="H36">
            <v>2513000</v>
          </cell>
        </row>
        <row r="168">
          <cell r="E168">
            <v>3022596</v>
          </cell>
          <cell r="F168">
            <v>3465000</v>
          </cell>
          <cell r="G168">
            <v>3570000</v>
          </cell>
          <cell r="H168">
            <v>4050000</v>
          </cell>
        </row>
        <row r="170">
          <cell r="E170">
            <v>508372</v>
          </cell>
          <cell r="F170">
            <v>520000</v>
          </cell>
          <cell r="G170">
            <v>520000</v>
          </cell>
          <cell r="H170">
            <v>530000</v>
          </cell>
        </row>
        <row r="171">
          <cell r="E171">
            <v>543723</v>
          </cell>
          <cell r="F171">
            <v>657000</v>
          </cell>
          <cell r="G171">
            <v>622000</v>
          </cell>
          <cell r="H171">
            <v>734000</v>
          </cell>
        </row>
        <row r="172">
          <cell r="E172">
            <v>2136</v>
          </cell>
          <cell r="F172">
            <v>5000</v>
          </cell>
          <cell r="G172">
            <v>5000</v>
          </cell>
          <cell r="H172">
            <v>6000</v>
          </cell>
        </row>
        <row r="175">
          <cell r="E175">
            <v>4352</v>
          </cell>
          <cell r="F175">
            <v>7500</v>
          </cell>
          <cell r="G175">
            <v>6000</v>
          </cell>
          <cell r="H175">
            <v>8000</v>
          </cell>
        </row>
        <row r="182">
          <cell r="E182">
            <v>64600</v>
          </cell>
          <cell r="F182">
            <v>85000</v>
          </cell>
          <cell r="G182">
            <v>80000</v>
          </cell>
          <cell r="H182">
            <v>90000</v>
          </cell>
        </row>
        <row r="184">
          <cell r="E184">
            <v>6287</v>
          </cell>
          <cell r="F184">
            <v>10000</v>
          </cell>
          <cell r="G184">
            <v>8000</v>
          </cell>
          <cell r="H184">
            <v>31000</v>
          </cell>
        </row>
        <row r="185">
          <cell r="E185">
            <v>4712</v>
          </cell>
          <cell r="F185">
            <v>10000</v>
          </cell>
          <cell r="G185">
            <v>7000</v>
          </cell>
          <cell r="H185">
            <v>7000</v>
          </cell>
        </row>
        <row r="186">
          <cell r="E186">
            <v>322171</v>
          </cell>
          <cell r="F186">
            <v>427200</v>
          </cell>
          <cell r="G186">
            <v>421000</v>
          </cell>
          <cell r="H186">
            <v>588000</v>
          </cell>
        </row>
        <row r="194">
          <cell r="E194">
            <v>2655</v>
          </cell>
          <cell r="F194">
            <v>4100</v>
          </cell>
          <cell r="G194">
            <v>4100</v>
          </cell>
          <cell r="H194">
            <v>4000</v>
          </cell>
        </row>
        <row r="195">
          <cell r="E195">
            <v>136810</v>
          </cell>
          <cell r="F195">
            <v>108200</v>
          </cell>
          <cell r="G195">
            <v>90900</v>
          </cell>
          <cell r="H195">
            <v>0</v>
          </cell>
        </row>
        <row r="198">
          <cell r="E198">
            <v>36361</v>
          </cell>
          <cell r="F198">
            <v>44000</v>
          </cell>
          <cell r="G198">
            <v>53000</v>
          </cell>
          <cell r="H198">
            <v>44000</v>
          </cell>
        </row>
        <row r="220">
          <cell r="E220">
            <v>43959</v>
          </cell>
          <cell r="F220">
            <v>20000</v>
          </cell>
          <cell r="G220">
            <v>20000</v>
          </cell>
          <cell r="H220">
            <v>20000</v>
          </cell>
        </row>
        <row r="224">
          <cell r="E224">
            <v>98487</v>
          </cell>
          <cell r="F224">
            <v>25000</v>
          </cell>
          <cell r="G224">
            <v>88000</v>
          </cell>
          <cell r="H224">
            <v>25000</v>
          </cell>
        </row>
        <row r="231">
          <cell r="E231">
            <v>478660</v>
          </cell>
          <cell r="F231">
            <v>46000</v>
          </cell>
          <cell r="G231">
            <v>46000</v>
          </cell>
          <cell r="H231">
            <v>36000</v>
          </cell>
        </row>
        <row r="241">
          <cell r="E241">
            <v>1174798.01</v>
          </cell>
          <cell r="F241">
            <v>347000</v>
          </cell>
          <cell r="G241">
            <v>343000</v>
          </cell>
          <cell r="H241">
            <v>92000</v>
          </cell>
        </row>
      </sheetData>
      <sheetData sheetId="2"/>
      <sheetData sheetId="3"/>
      <sheetData sheetId="4"/>
      <sheetData sheetId="5">
        <row r="5">
          <cell r="B5">
            <v>1728000</v>
          </cell>
        </row>
      </sheetData>
      <sheetData sheetId="6">
        <row r="7">
          <cell r="A7" t="str">
            <v>Zagrebački sajam nautike</v>
          </cell>
        </row>
      </sheetData>
      <sheetData sheetId="7"/>
      <sheetData sheetId="8"/>
      <sheetData sheetId="9">
        <row r="45">
          <cell r="B45" t="str">
            <v xml:space="preserve">Sajmovi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š rdg"/>
      <sheetName val="analitika troškova"/>
      <sheetName val="analitika radna"/>
      <sheetName val="Obrazloženja"/>
      <sheetName val="prihodi aktivn sve usooredba"/>
      <sheetName val="zakup procj i plan"/>
      <sheetName val="sajmovi(A)"/>
      <sheetName val="DOGAĐANJA(A)"/>
      <sheetName val="zakup(A)"/>
      <sheetName val="WORD PLAN(A)"/>
      <sheetName val="GRAFOVI WORD (A)"/>
      <sheetName val="foi(A)"/>
      <sheetName val="energija(A)"/>
      <sheetName val="održavanje(A)"/>
      <sheetName val="Komunalna KTA"/>
      <sheetName val="prihodi povećanje RS"/>
      <sheetName val="proračuni"/>
      <sheetName val="razrada 42990010-11"/>
      <sheetName val="projekcija zakup"/>
      <sheetName val="plaće za novozaposlene"/>
      <sheetName val="naknade po novom ku"/>
      <sheetName val="naturalni"/>
      <sheetName val="dom ino-eur"/>
      <sheetName val="prihodi Grad"/>
      <sheetName val="zaposleni 1"/>
      <sheetName val="zaposleni 2"/>
      <sheetName val="rdg grad"/>
      <sheetName val="bilanca"/>
      <sheetName val="novčani"/>
      <sheetName val="pokazatelji"/>
      <sheetName val="invest1"/>
      <sheetName val="inv 2"/>
      <sheetName val="inv 3"/>
      <sheetName val="plaće"/>
      <sheetName val="Sheet2"/>
    </sheetNames>
    <sheetDataSet>
      <sheetData sheetId="0">
        <row r="7">
          <cell r="C7">
            <v>1604236</v>
          </cell>
          <cell r="F7">
            <v>1980000</v>
          </cell>
          <cell r="I7">
            <v>2139000</v>
          </cell>
          <cell r="L7">
            <v>1759000</v>
          </cell>
        </row>
        <row r="8">
          <cell r="C8">
            <v>1890180</v>
          </cell>
          <cell r="F8">
            <v>1651000</v>
          </cell>
          <cell r="I8">
            <v>1948000</v>
          </cell>
          <cell r="L8">
            <v>2105000</v>
          </cell>
        </row>
        <row r="9">
          <cell r="C9">
            <v>6688562</v>
          </cell>
          <cell r="F9">
            <v>7500000</v>
          </cell>
          <cell r="I9">
            <v>7565000</v>
          </cell>
          <cell r="L9">
            <v>8264000</v>
          </cell>
        </row>
      </sheetData>
      <sheetData sheetId="1">
        <row r="22">
          <cell r="E22">
            <v>3400015</v>
          </cell>
          <cell r="F22">
            <v>1450000</v>
          </cell>
          <cell r="G22">
            <v>1610000</v>
          </cell>
          <cell r="H22">
            <v>1720000</v>
          </cell>
        </row>
        <row r="23">
          <cell r="G23">
            <v>9000</v>
          </cell>
          <cell r="H23">
            <v>10000</v>
          </cell>
        </row>
        <row r="24">
          <cell r="E24">
            <v>1222047</v>
          </cell>
          <cell r="F24">
            <v>850000</v>
          </cell>
          <cell r="G24">
            <v>850000</v>
          </cell>
          <cell r="H24">
            <v>900000</v>
          </cell>
        </row>
        <row r="25">
          <cell r="E25">
            <v>10293</v>
          </cell>
          <cell r="F25">
            <v>13000</v>
          </cell>
          <cell r="G25">
            <v>12000</v>
          </cell>
          <cell r="H25">
            <v>13000</v>
          </cell>
        </row>
        <row r="56">
          <cell r="G56">
            <v>418000</v>
          </cell>
          <cell r="H56">
            <v>344000</v>
          </cell>
        </row>
        <row r="57">
          <cell r="E57">
            <v>5120</v>
          </cell>
          <cell r="F57">
            <v>5000</v>
          </cell>
          <cell r="G57">
            <v>40000</v>
          </cell>
          <cell r="H57">
            <v>10000</v>
          </cell>
        </row>
        <row r="58">
          <cell r="E58">
            <v>43154</v>
          </cell>
          <cell r="F58">
            <v>80000</v>
          </cell>
          <cell r="G58">
            <v>80000</v>
          </cell>
          <cell r="H58">
            <v>80000</v>
          </cell>
        </row>
        <row r="59">
          <cell r="F59">
            <v>5000</v>
          </cell>
          <cell r="G59">
            <v>5000</v>
          </cell>
          <cell r="H59">
            <v>5000</v>
          </cell>
        </row>
        <row r="60">
          <cell r="E60">
            <v>3513</v>
          </cell>
          <cell r="F60">
            <v>20000</v>
          </cell>
          <cell r="G60">
            <v>35000</v>
          </cell>
          <cell r="H60">
            <v>25000</v>
          </cell>
        </row>
        <row r="61">
          <cell r="E61">
            <v>664</v>
          </cell>
          <cell r="F61">
            <v>5000</v>
          </cell>
          <cell r="G61">
            <v>5000</v>
          </cell>
          <cell r="H61">
            <v>5000</v>
          </cell>
        </row>
        <row r="62">
          <cell r="E62">
            <v>971</v>
          </cell>
          <cell r="F62">
            <v>30000</v>
          </cell>
          <cell r="G62">
            <v>30000</v>
          </cell>
          <cell r="H62">
            <v>20000</v>
          </cell>
        </row>
        <row r="63">
          <cell r="E63">
            <v>16800</v>
          </cell>
          <cell r="F63">
            <v>40000</v>
          </cell>
          <cell r="G63">
            <v>45000</v>
          </cell>
          <cell r="H63">
            <v>40000</v>
          </cell>
        </row>
        <row r="64">
          <cell r="E64">
            <v>1466</v>
          </cell>
          <cell r="F64">
            <v>10000</v>
          </cell>
          <cell r="G64">
            <v>5000</v>
          </cell>
          <cell r="H64">
            <v>2000</v>
          </cell>
        </row>
        <row r="65">
          <cell r="E65">
            <v>6100</v>
          </cell>
          <cell r="F65">
            <v>45000</v>
          </cell>
          <cell r="G65">
            <v>25000</v>
          </cell>
          <cell r="H65">
            <v>15000</v>
          </cell>
        </row>
        <row r="66">
          <cell r="F66">
            <v>5000</v>
          </cell>
          <cell r="G66">
            <v>5000</v>
          </cell>
          <cell r="H66">
            <v>5000</v>
          </cell>
        </row>
        <row r="67">
          <cell r="E67">
            <v>2074</v>
          </cell>
          <cell r="F67">
            <v>5000</v>
          </cell>
          <cell r="G67">
            <v>5000</v>
          </cell>
          <cell r="H67">
            <v>5000</v>
          </cell>
        </row>
        <row r="68">
          <cell r="E68">
            <v>14482</v>
          </cell>
          <cell r="F68">
            <v>35000</v>
          </cell>
          <cell r="G68">
            <v>20000</v>
          </cell>
          <cell r="H68">
            <v>20000</v>
          </cell>
        </row>
        <row r="69">
          <cell r="E69">
            <v>654</v>
          </cell>
          <cell r="F69">
            <v>10000</v>
          </cell>
          <cell r="G69">
            <v>10000</v>
          </cell>
          <cell r="H69">
            <v>10000</v>
          </cell>
        </row>
        <row r="70">
          <cell r="E70">
            <v>6502</v>
          </cell>
          <cell r="F70">
            <v>10000</v>
          </cell>
          <cell r="G70">
            <v>10000</v>
          </cell>
          <cell r="H70">
            <v>10000</v>
          </cell>
        </row>
        <row r="71">
          <cell r="E71">
            <v>2324</v>
          </cell>
          <cell r="F71">
            <v>5000</v>
          </cell>
          <cell r="G71">
            <v>4000</v>
          </cell>
          <cell r="H71">
            <v>3000</v>
          </cell>
        </row>
        <row r="72">
          <cell r="E72">
            <v>11837</v>
          </cell>
          <cell r="F72">
            <v>15000</v>
          </cell>
          <cell r="G72">
            <v>10000</v>
          </cell>
          <cell r="H72">
            <v>10000</v>
          </cell>
        </row>
        <row r="73">
          <cell r="F73">
            <v>20000</v>
          </cell>
          <cell r="G73">
            <v>24000</v>
          </cell>
          <cell r="H73">
            <v>20000</v>
          </cell>
        </row>
        <row r="74">
          <cell r="E74">
            <v>30437</v>
          </cell>
          <cell r="F74">
            <v>101000</v>
          </cell>
          <cell r="G74">
            <v>40000</v>
          </cell>
          <cell r="H74">
            <v>40000</v>
          </cell>
        </row>
        <row r="75">
          <cell r="E75">
            <v>12370</v>
          </cell>
          <cell r="G75">
            <v>6000</v>
          </cell>
          <cell r="H75">
            <v>6000</v>
          </cell>
        </row>
        <row r="76">
          <cell r="E76">
            <v>1207</v>
          </cell>
          <cell r="G76">
            <v>1000</v>
          </cell>
          <cell r="H76" t="str">
            <v> </v>
          </cell>
        </row>
        <row r="77">
          <cell r="E77">
            <v>1490</v>
          </cell>
          <cell r="F77">
            <v>2000</v>
          </cell>
          <cell r="G77">
            <v>2000</v>
          </cell>
          <cell r="H77" t="str">
            <v> </v>
          </cell>
        </row>
        <row r="78">
          <cell r="F78">
            <v>10000</v>
          </cell>
          <cell r="G78">
            <v>2000</v>
          </cell>
          <cell r="H78">
            <v>3000</v>
          </cell>
        </row>
        <row r="79">
          <cell r="E79">
            <v>101</v>
          </cell>
          <cell r="F79">
            <v>2000</v>
          </cell>
          <cell r="G79">
            <v>1000</v>
          </cell>
          <cell r="H79">
            <v>2000</v>
          </cell>
        </row>
        <row r="80">
          <cell r="E80">
            <v>8871</v>
          </cell>
          <cell r="F80">
            <v>10000</v>
          </cell>
          <cell r="G80">
            <v>8000</v>
          </cell>
          <cell r="H80">
            <v>8000</v>
          </cell>
        </row>
        <row r="81">
          <cell r="F81">
            <v>5000</v>
          </cell>
          <cell r="G81">
            <v>7000</v>
          </cell>
          <cell r="H81">
            <v>6000</v>
          </cell>
        </row>
      </sheetData>
      <sheetData sheetId="2"/>
      <sheetData sheetId="3"/>
      <sheetData sheetId="4">
        <row r="6">
          <cell r="B6">
            <v>7161</v>
          </cell>
          <cell r="C6">
            <v>383086</v>
          </cell>
          <cell r="D6">
            <v>7220</v>
          </cell>
          <cell r="E6">
            <v>394498</v>
          </cell>
          <cell r="F6">
            <v>7220</v>
          </cell>
          <cell r="G6">
            <v>394498</v>
          </cell>
          <cell r="H6">
            <v>7220</v>
          </cell>
          <cell r="I6">
            <v>415000</v>
          </cell>
        </row>
        <row r="7">
          <cell r="B7">
            <v>341</v>
          </cell>
          <cell r="C7">
            <v>33689</v>
          </cell>
          <cell r="D7">
            <v>455</v>
          </cell>
          <cell r="E7">
            <v>37224</v>
          </cell>
          <cell r="F7">
            <v>455</v>
          </cell>
          <cell r="G7">
            <v>37224</v>
          </cell>
          <cell r="H7">
            <v>675</v>
          </cell>
          <cell r="I7">
            <v>41000</v>
          </cell>
        </row>
        <row r="8">
          <cell r="B8">
            <v>1113</v>
          </cell>
          <cell r="C8">
            <v>90174</v>
          </cell>
          <cell r="D8">
            <v>1092</v>
          </cell>
          <cell r="E8">
            <v>115076</v>
          </cell>
          <cell r="F8">
            <v>1092</v>
          </cell>
          <cell r="G8">
            <v>115076</v>
          </cell>
          <cell r="H8">
            <v>1300</v>
          </cell>
          <cell r="I8">
            <v>132000</v>
          </cell>
        </row>
        <row r="9">
          <cell r="D9">
            <v>4998</v>
          </cell>
          <cell r="E9">
            <v>337768</v>
          </cell>
          <cell r="F9">
            <v>4998</v>
          </cell>
          <cell r="G9">
            <v>337768</v>
          </cell>
        </row>
        <row r="10">
          <cell r="D10">
            <v>2051</v>
          </cell>
          <cell r="E10">
            <v>170434</v>
          </cell>
          <cell r="F10">
            <v>2051</v>
          </cell>
          <cell r="G10">
            <v>170616</v>
          </cell>
        </row>
        <row r="11">
          <cell r="B11">
            <v>2340</v>
          </cell>
          <cell r="C11">
            <v>300383</v>
          </cell>
          <cell r="D11">
            <v>2500</v>
          </cell>
          <cell r="E11">
            <v>230000</v>
          </cell>
          <cell r="F11">
            <v>2639</v>
          </cell>
          <cell r="G11">
            <v>281000</v>
          </cell>
          <cell r="H11">
            <v>2500</v>
          </cell>
          <cell r="I11">
            <v>280000</v>
          </cell>
        </row>
        <row r="12">
          <cell r="B12">
            <v>575</v>
          </cell>
          <cell r="C12">
            <v>59813</v>
          </cell>
        </row>
        <row r="13">
          <cell r="B13">
            <v>7373</v>
          </cell>
          <cell r="C13">
            <v>512352</v>
          </cell>
          <cell r="D13">
            <v>7373</v>
          </cell>
          <cell r="E13">
            <v>550000</v>
          </cell>
          <cell r="F13">
            <v>7582</v>
          </cell>
          <cell r="G13">
            <v>607818</v>
          </cell>
          <cell r="H13">
            <v>7700</v>
          </cell>
          <cell r="I13">
            <v>600000</v>
          </cell>
        </row>
        <row r="14">
          <cell r="D14">
            <v>2500</v>
          </cell>
          <cell r="E14">
            <v>100000</v>
          </cell>
          <cell r="F14">
            <v>3300</v>
          </cell>
          <cell r="G14">
            <v>130000</v>
          </cell>
          <cell r="H14">
            <v>3000</v>
          </cell>
          <cell r="I14">
            <v>160000</v>
          </cell>
        </row>
        <row r="15">
          <cell r="D15">
            <v>1000</v>
          </cell>
          <cell r="E15">
            <v>45000</v>
          </cell>
          <cell r="F15">
            <v>1200</v>
          </cell>
          <cell r="G15">
            <v>65000</v>
          </cell>
          <cell r="H15">
            <v>1200</v>
          </cell>
          <cell r="I15">
            <v>70000</v>
          </cell>
        </row>
        <row r="17">
          <cell r="C17">
            <v>576979</v>
          </cell>
          <cell r="E17">
            <v>605000</v>
          </cell>
          <cell r="G17">
            <v>712000</v>
          </cell>
          <cell r="I17">
            <v>782000</v>
          </cell>
        </row>
        <row r="18">
          <cell r="C18">
            <v>192579</v>
          </cell>
          <cell r="E18">
            <v>85000</v>
          </cell>
          <cell r="G18">
            <v>210000</v>
          </cell>
          <cell r="I18">
            <v>252000</v>
          </cell>
        </row>
        <row r="19">
          <cell r="C19">
            <v>631080</v>
          </cell>
          <cell r="E19">
            <v>635000</v>
          </cell>
          <cell r="G19">
            <v>673000</v>
          </cell>
          <cell r="I19">
            <v>653000</v>
          </cell>
        </row>
        <row r="20">
          <cell r="C20">
            <v>445505</v>
          </cell>
          <cell r="E20">
            <v>283000</v>
          </cell>
          <cell r="G20">
            <v>310000</v>
          </cell>
          <cell r="I20">
            <v>372000</v>
          </cell>
        </row>
        <row r="21">
          <cell r="C21">
            <v>2616</v>
          </cell>
        </row>
        <row r="22">
          <cell r="C22">
            <v>6334</v>
          </cell>
          <cell r="E22">
            <v>6000</v>
          </cell>
          <cell r="G22">
            <v>6000</v>
          </cell>
          <cell r="I22">
            <v>6000</v>
          </cell>
        </row>
        <row r="23">
          <cell r="C23">
            <v>35087</v>
          </cell>
          <cell r="E23">
            <v>37000</v>
          </cell>
          <cell r="G23">
            <v>37000</v>
          </cell>
          <cell r="I23">
            <v>40000</v>
          </cell>
        </row>
        <row r="25">
          <cell r="B25">
            <v>13712</v>
          </cell>
          <cell r="C25">
            <v>1546915</v>
          </cell>
          <cell r="D25">
            <v>14936</v>
          </cell>
          <cell r="E25">
            <v>1728000</v>
          </cell>
          <cell r="F25">
            <v>14936</v>
          </cell>
          <cell r="G25">
            <v>1720000</v>
          </cell>
          <cell r="H25">
            <v>14936</v>
          </cell>
          <cell r="I25">
            <v>1850000</v>
          </cell>
        </row>
        <row r="26">
          <cell r="B26">
            <v>19325</v>
          </cell>
          <cell r="C26">
            <v>1062280</v>
          </cell>
          <cell r="D26">
            <v>19592</v>
          </cell>
          <cell r="E26">
            <v>1181000</v>
          </cell>
          <cell r="F26">
            <v>19592</v>
          </cell>
          <cell r="G26">
            <v>1180000</v>
          </cell>
          <cell r="H26">
            <v>20592</v>
          </cell>
          <cell r="I26">
            <v>1330000</v>
          </cell>
        </row>
        <row r="27">
          <cell r="C27">
            <v>360067</v>
          </cell>
          <cell r="E27">
            <v>362000</v>
          </cell>
          <cell r="F27">
            <v>0</v>
          </cell>
          <cell r="G27">
            <v>360000</v>
          </cell>
          <cell r="H27">
            <v>0</v>
          </cell>
          <cell r="I27">
            <v>350000</v>
          </cell>
        </row>
        <row r="28">
          <cell r="B28">
            <v>3529</v>
          </cell>
          <cell r="C28">
            <v>293402</v>
          </cell>
          <cell r="D28">
            <v>3949</v>
          </cell>
          <cell r="E28">
            <v>323000</v>
          </cell>
          <cell r="F28">
            <v>3949</v>
          </cell>
          <cell r="G28">
            <v>335000</v>
          </cell>
          <cell r="H28">
            <v>3949</v>
          </cell>
          <cell r="I28">
            <v>360000</v>
          </cell>
        </row>
        <row r="29">
          <cell r="B29">
            <v>45339</v>
          </cell>
          <cell r="C29">
            <v>1183630</v>
          </cell>
          <cell r="D29">
            <v>44357</v>
          </cell>
          <cell r="E29">
            <v>1294000</v>
          </cell>
          <cell r="F29">
            <v>44357</v>
          </cell>
          <cell r="G29">
            <v>1230000</v>
          </cell>
          <cell r="H29">
            <v>44357</v>
          </cell>
          <cell r="I29">
            <v>1380000</v>
          </cell>
        </row>
        <row r="30">
          <cell r="B30">
            <v>92431</v>
          </cell>
          <cell r="C30">
            <v>2242268</v>
          </cell>
          <cell r="D30">
            <v>93043</v>
          </cell>
          <cell r="E30">
            <v>2612000</v>
          </cell>
          <cell r="F30">
            <v>93043</v>
          </cell>
          <cell r="G30">
            <v>2740000</v>
          </cell>
          <cell r="H30">
            <v>93043</v>
          </cell>
          <cell r="I30">
            <v>2994000</v>
          </cell>
        </row>
      </sheetData>
      <sheetData sheetId="5">
        <row r="11">
          <cell r="I11">
            <v>175877</v>
          </cell>
        </row>
        <row r="22">
          <cell r="I22">
            <v>176877</v>
          </cell>
        </row>
      </sheetData>
      <sheetData sheetId="6"/>
      <sheetData sheetId="7"/>
      <sheetData sheetId="8">
        <row r="7">
          <cell r="A7">
            <v>1</v>
          </cell>
        </row>
        <row r="8">
          <cell r="B8" t="str">
            <v>Uredski prostor</v>
          </cell>
          <cell r="D8">
            <v>1546915</v>
          </cell>
          <cell r="H8">
            <v>1720000</v>
          </cell>
          <cell r="N8">
            <v>0.22386253630203293</v>
          </cell>
        </row>
        <row r="9">
          <cell r="B9" t="str">
            <v>Maloprodaja</v>
          </cell>
          <cell r="D9">
            <v>1062280</v>
          </cell>
          <cell r="H9">
            <v>1180000</v>
          </cell>
          <cell r="N9">
            <v>0.16093901258470475</v>
          </cell>
        </row>
        <row r="10">
          <cell r="B10" t="str">
            <v>Ostale usluge</v>
          </cell>
          <cell r="D10">
            <v>360067</v>
          </cell>
          <cell r="H10">
            <v>360000</v>
          </cell>
          <cell r="N10">
            <v>4.2352371732817036E-2</v>
          </cell>
        </row>
        <row r="11">
          <cell r="B11" t="str">
            <v>Ugostiteljstvo</v>
          </cell>
          <cell r="D11">
            <v>293402</v>
          </cell>
          <cell r="H11">
            <v>335000</v>
          </cell>
          <cell r="N11">
            <v>4.3562439496611809E-2</v>
          </cell>
        </row>
        <row r="12">
          <cell r="B12" t="str">
            <v>Skladišni prostor</v>
          </cell>
          <cell r="D12">
            <v>1183630</v>
          </cell>
          <cell r="H12">
            <v>1230000</v>
          </cell>
          <cell r="N12">
            <v>0.1669893514036786</v>
          </cell>
        </row>
        <row r="13">
          <cell r="B13" t="str">
            <v>Športski tereni</v>
          </cell>
          <cell r="D13">
            <v>2242268</v>
          </cell>
          <cell r="H13">
            <v>2740000</v>
          </cell>
          <cell r="N13">
            <v>0.36229428848015488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6">
          <cell r="D16">
            <v>23379</v>
          </cell>
          <cell r="E16">
            <v>6544</v>
          </cell>
          <cell r="F16">
            <v>696</v>
          </cell>
          <cell r="G16">
            <v>34707</v>
          </cell>
          <cell r="K16">
            <v>29189</v>
          </cell>
          <cell r="L16">
            <v>8233</v>
          </cell>
          <cell r="M16">
            <v>802</v>
          </cell>
          <cell r="N16">
            <v>33457</v>
          </cell>
          <cell r="R16">
            <v>30557</v>
          </cell>
          <cell r="S16">
            <v>8717</v>
          </cell>
          <cell r="T16">
            <v>838</v>
          </cell>
          <cell r="U16">
            <v>32690</v>
          </cell>
          <cell r="Y16">
            <v>24195</v>
          </cell>
          <cell r="Z16">
            <v>7050</v>
          </cell>
          <cell r="AA16">
            <v>731</v>
          </cell>
          <cell r="AB16">
            <v>32200</v>
          </cell>
        </row>
      </sheetData>
      <sheetData sheetId="22"/>
      <sheetData sheetId="23"/>
      <sheetData sheetId="24"/>
      <sheetData sheetId="25"/>
      <sheetData sheetId="26"/>
      <sheetData sheetId="27">
        <row r="24">
          <cell r="H24">
            <v>2226620</v>
          </cell>
          <cell r="J24">
            <v>2178000</v>
          </cell>
        </row>
        <row r="39">
          <cell r="H39">
            <v>198073723</v>
          </cell>
          <cell r="J39">
            <v>199548903</v>
          </cell>
        </row>
        <row r="69">
          <cell r="H69">
            <v>4636309</v>
          </cell>
          <cell r="J69">
            <v>3256274</v>
          </cell>
        </row>
        <row r="71">
          <cell r="H71">
            <v>233164566</v>
          </cell>
          <cell r="J71">
            <v>232590333</v>
          </cell>
        </row>
      </sheetData>
      <sheetData sheetId="28"/>
      <sheetData sheetId="29"/>
      <sheetData sheetId="30">
        <row r="102">
          <cell r="H102">
            <v>4621342</v>
          </cell>
        </row>
      </sheetData>
      <sheetData sheetId="31">
        <row r="23">
          <cell r="K23">
            <v>4621342</v>
          </cell>
        </row>
      </sheetData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zoomScale="80" zoomScaleNormal="80" workbookViewId="0">
      <selection activeCell="A6" sqref="A6:B10"/>
    </sheetView>
  </sheetViews>
  <sheetFormatPr defaultColWidth="9.140625" defaultRowHeight="15" x14ac:dyDescent="0.25"/>
  <cols>
    <col min="1" max="1" width="8.42578125" style="64" customWidth="1"/>
    <col min="2" max="2" width="20.7109375" style="64" customWidth="1"/>
    <col min="3" max="4" width="11.7109375" style="64" customWidth="1"/>
    <col min="5" max="5" width="10.7109375" style="64" customWidth="1"/>
    <col min="6" max="6" width="7.7109375" style="64" customWidth="1"/>
    <col min="7" max="8" width="11.7109375" style="64" customWidth="1"/>
    <col min="9" max="9" width="10.7109375" style="64" customWidth="1"/>
    <col min="10" max="10" width="7.7109375" style="64" customWidth="1"/>
    <col min="11" max="12" width="11.7109375" style="64" customWidth="1"/>
    <col min="13" max="13" width="10.7109375" style="64" customWidth="1"/>
    <col min="14" max="14" width="7.7109375" style="64" customWidth="1"/>
    <col min="15" max="16" width="11.7109375" style="64" customWidth="1"/>
    <col min="17" max="17" width="10.7109375" style="64" customWidth="1"/>
    <col min="18" max="18" width="7.7109375" style="64" customWidth="1"/>
    <col min="19" max="21" width="6.7109375" style="64" customWidth="1"/>
    <col min="22" max="23" width="6.28515625" style="64" customWidth="1"/>
    <col min="24" max="24" width="9.140625" style="64"/>
    <col min="25" max="25" width="10.28515625" style="64" customWidth="1"/>
    <col min="26" max="26" width="11.140625" style="64" bestFit="1" customWidth="1"/>
    <col min="27" max="16384" width="9.140625" style="64"/>
  </cols>
  <sheetData>
    <row r="1" spans="1:23" ht="15" customHeight="1" x14ac:dyDescent="0.25">
      <c r="A1" s="514" t="s">
        <v>81</v>
      </c>
      <c r="B1" s="514"/>
      <c r="C1" s="514"/>
      <c r="D1" s="514"/>
      <c r="E1" s="514"/>
      <c r="F1" s="514"/>
      <c r="G1" s="514"/>
    </row>
    <row r="2" spans="1:23" ht="5.25" customHeight="1" x14ac:dyDescent="0.25">
      <c r="A2" s="515"/>
      <c r="B2" s="515"/>
      <c r="C2" s="66"/>
    </row>
    <row r="3" spans="1:23" ht="5.25" customHeight="1" x14ac:dyDescent="0.25">
      <c r="A3" s="515"/>
      <c r="B3" s="515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</row>
    <row r="4" spans="1:23" ht="21" customHeight="1" x14ac:dyDescent="0.25">
      <c r="A4" s="516" t="s">
        <v>82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</row>
    <row r="5" spans="1:23" ht="24" customHeight="1" thickBot="1" x14ac:dyDescent="0.3">
      <c r="A5" s="710" t="s">
        <v>516</v>
      </c>
      <c r="B5" s="69"/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  <c r="N5" s="711"/>
      <c r="O5" s="711"/>
      <c r="P5" s="711"/>
      <c r="Q5" s="711"/>
      <c r="R5" s="711"/>
      <c r="S5" s="69"/>
      <c r="T5" s="69"/>
      <c r="U5" s="69"/>
      <c r="V5" s="70"/>
      <c r="W5" s="70"/>
    </row>
    <row r="6" spans="1:23" ht="40.5" customHeight="1" thickTop="1" x14ac:dyDescent="0.25">
      <c r="A6" s="517" t="s">
        <v>83</v>
      </c>
      <c r="B6" s="518"/>
      <c r="C6" s="523" t="s">
        <v>84</v>
      </c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  <c r="R6" s="524"/>
      <c r="S6" s="525" t="s">
        <v>71</v>
      </c>
      <c r="T6" s="526"/>
      <c r="U6" s="527"/>
    </row>
    <row r="7" spans="1:23" ht="30" customHeight="1" x14ac:dyDescent="0.25">
      <c r="A7" s="519"/>
      <c r="B7" s="520"/>
      <c r="C7" s="508" t="s">
        <v>85</v>
      </c>
      <c r="D7" s="508"/>
      <c r="E7" s="508"/>
      <c r="F7" s="509"/>
      <c r="G7" s="512" t="s">
        <v>86</v>
      </c>
      <c r="H7" s="511"/>
      <c r="I7" s="511"/>
      <c r="J7" s="511"/>
      <c r="K7" s="511"/>
      <c r="L7" s="511"/>
      <c r="M7" s="511"/>
      <c r="N7" s="509"/>
      <c r="O7" s="507" t="s">
        <v>87</v>
      </c>
      <c r="P7" s="508"/>
      <c r="Q7" s="508"/>
      <c r="R7" s="509"/>
      <c r="S7" s="528"/>
      <c r="T7" s="529"/>
      <c r="U7" s="530"/>
    </row>
    <row r="8" spans="1:23" ht="51.75" customHeight="1" x14ac:dyDescent="0.25">
      <c r="A8" s="519"/>
      <c r="B8" s="520"/>
      <c r="C8" s="511"/>
      <c r="D8" s="511"/>
      <c r="E8" s="511"/>
      <c r="F8" s="509"/>
      <c r="G8" s="512" t="s">
        <v>88</v>
      </c>
      <c r="H8" s="511"/>
      <c r="I8" s="511"/>
      <c r="J8" s="509"/>
      <c r="K8" s="513" t="s">
        <v>89</v>
      </c>
      <c r="L8" s="510"/>
      <c r="M8" s="510"/>
      <c r="N8" s="509"/>
      <c r="O8" s="510"/>
      <c r="P8" s="511"/>
      <c r="Q8" s="511"/>
      <c r="R8" s="509"/>
      <c r="S8" s="531"/>
      <c r="T8" s="532"/>
      <c r="U8" s="533"/>
    </row>
    <row r="9" spans="1:23" ht="40.5" customHeight="1" x14ac:dyDescent="0.25">
      <c r="A9" s="519"/>
      <c r="B9" s="520"/>
      <c r="C9" s="503" t="s">
        <v>90</v>
      </c>
      <c r="D9" s="503" t="s">
        <v>91</v>
      </c>
      <c r="E9" s="505" t="s">
        <v>92</v>
      </c>
      <c r="F9" s="506"/>
      <c r="G9" s="503" t="s">
        <v>90</v>
      </c>
      <c r="H9" s="503" t="s">
        <v>91</v>
      </c>
      <c r="I9" s="505" t="s">
        <v>93</v>
      </c>
      <c r="J9" s="506"/>
      <c r="K9" s="503" t="s">
        <v>90</v>
      </c>
      <c r="L9" s="503" t="s">
        <v>91</v>
      </c>
      <c r="M9" s="505" t="s">
        <v>94</v>
      </c>
      <c r="N9" s="506"/>
      <c r="O9" s="503" t="s">
        <v>90</v>
      </c>
      <c r="P9" s="503" t="s">
        <v>91</v>
      </c>
      <c r="Q9" s="505" t="s">
        <v>95</v>
      </c>
      <c r="R9" s="506"/>
      <c r="S9" s="71"/>
      <c r="T9" s="71"/>
      <c r="U9" s="72"/>
    </row>
    <row r="10" spans="1:23" ht="18" customHeight="1" x14ac:dyDescent="0.25">
      <c r="A10" s="521"/>
      <c r="B10" s="522"/>
      <c r="C10" s="504"/>
      <c r="D10" s="504"/>
      <c r="E10" s="73" t="s">
        <v>96</v>
      </c>
      <c r="F10" s="74" t="s">
        <v>97</v>
      </c>
      <c r="G10" s="504"/>
      <c r="H10" s="504"/>
      <c r="I10" s="73" t="s">
        <v>96</v>
      </c>
      <c r="J10" s="74" t="s">
        <v>97</v>
      </c>
      <c r="K10" s="504"/>
      <c r="L10" s="504"/>
      <c r="M10" s="73" t="s">
        <v>96</v>
      </c>
      <c r="N10" s="74" t="s">
        <v>97</v>
      </c>
      <c r="O10" s="504"/>
      <c r="P10" s="504"/>
      <c r="Q10" s="73" t="s">
        <v>96</v>
      </c>
      <c r="R10" s="74" t="s">
        <v>97</v>
      </c>
      <c r="S10" s="75" t="s">
        <v>98</v>
      </c>
      <c r="T10" s="76" t="s">
        <v>99</v>
      </c>
      <c r="U10" s="77" t="s">
        <v>100</v>
      </c>
    </row>
    <row r="11" spans="1:23" ht="15.75" thickBot="1" x14ac:dyDescent="0.3">
      <c r="A11" s="78">
        <v>1</v>
      </c>
      <c r="B11" s="79">
        <v>2</v>
      </c>
      <c r="C11" s="80">
        <v>3</v>
      </c>
      <c r="D11" s="80">
        <v>4</v>
      </c>
      <c r="E11" s="81">
        <v>5</v>
      </c>
      <c r="F11" s="82">
        <v>6</v>
      </c>
      <c r="G11" s="80">
        <v>7</v>
      </c>
      <c r="H11" s="80">
        <v>8</v>
      </c>
      <c r="I11" s="81">
        <v>9</v>
      </c>
      <c r="J11" s="82">
        <v>10</v>
      </c>
      <c r="K11" s="80">
        <v>11</v>
      </c>
      <c r="L11" s="80">
        <v>12</v>
      </c>
      <c r="M11" s="81">
        <v>13</v>
      </c>
      <c r="N11" s="82">
        <v>14</v>
      </c>
      <c r="O11" s="80">
        <v>15</v>
      </c>
      <c r="P11" s="80">
        <v>16</v>
      </c>
      <c r="Q11" s="81">
        <v>17</v>
      </c>
      <c r="R11" s="82">
        <v>18</v>
      </c>
      <c r="S11" s="79">
        <v>19</v>
      </c>
      <c r="T11" s="83">
        <v>20</v>
      </c>
      <c r="U11" s="82">
        <v>21</v>
      </c>
    </row>
    <row r="12" spans="1:23" ht="34.5" customHeight="1" thickTop="1" x14ac:dyDescent="0.25">
      <c r="A12" s="84" t="s">
        <v>101</v>
      </c>
      <c r="B12" s="85" t="s">
        <v>102</v>
      </c>
      <c r="C12" s="86">
        <v>1</v>
      </c>
      <c r="D12" s="87"/>
      <c r="E12" s="88">
        <f t="shared" ref="E12:E21" si="0">SUM(C12:D12)</f>
        <v>1</v>
      </c>
      <c r="F12" s="89">
        <f t="shared" ref="F12:F22" si="1">IF(E12=0,"",E12/E$22*100)</f>
        <v>0.80645161290322576</v>
      </c>
      <c r="G12" s="86">
        <v>1</v>
      </c>
      <c r="H12" s="87"/>
      <c r="I12" s="88">
        <f t="shared" ref="I12:I21" si="2">SUM(G12:H12)</f>
        <v>1</v>
      </c>
      <c r="J12" s="89">
        <f t="shared" ref="J12:J22" si="3">IF(I12=0,"",I12/I$22*100)</f>
        <v>0.70921985815602839</v>
      </c>
      <c r="K12" s="90">
        <v>1</v>
      </c>
      <c r="L12" s="87"/>
      <c r="M12" s="88">
        <f t="shared" ref="M12:M21" si="4">SUM(K12:L12)</f>
        <v>1</v>
      </c>
      <c r="N12" s="89">
        <f t="shared" ref="N12:N22" si="5">IF(M12=0,"",M12/M$22*100)</f>
        <v>0.70422535211267612</v>
      </c>
      <c r="O12" s="91">
        <v>1</v>
      </c>
      <c r="P12" s="87"/>
      <c r="Q12" s="88">
        <f t="shared" ref="Q12:Q21" si="6">SUM(O12:P12)</f>
        <v>1</v>
      </c>
      <c r="R12" s="89">
        <f t="shared" ref="R12:R22" si="7">IF(Q12=0,"",Q12/Q$22*100)</f>
        <v>0.65359477124183007</v>
      </c>
      <c r="S12" s="92">
        <f t="shared" ref="S12:S22" si="8">IF(E12=0,0,M12/E12)*100</f>
        <v>100</v>
      </c>
      <c r="T12" s="93">
        <f t="shared" ref="T12:T22" si="9">IF(I12=0,0,M12/I12)*100</f>
        <v>100</v>
      </c>
      <c r="U12" s="89">
        <f t="shared" ref="U12:U22" si="10">IF(M12=0,0,Q12/M12)*100</f>
        <v>100</v>
      </c>
    </row>
    <row r="13" spans="1:23" ht="34.5" customHeight="1" x14ac:dyDescent="0.25">
      <c r="A13" s="94" t="s">
        <v>103</v>
      </c>
      <c r="B13" s="95" t="s">
        <v>104</v>
      </c>
      <c r="C13" s="96">
        <v>2</v>
      </c>
      <c r="D13" s="97"/>
      <c r="E13" s="98">
        <f t="shared" si="0"/>
        <v>2</v>
      </c>
      <c r="F13" s="99">
        <f t="shared" si="1"/>
        <v>1.6129032258064515</v>
      </c>
      <c r="G13" s="96">
        <v>2</v>
      </c>
      <c r="H13" s="97"/>
      <c r="I13" s="98">
        <f t="shared" si="2"/>
        <v>2</v>
      </c>
      <c r="J13" s="99">
        <f t="shared" si="3"/>
        <v>1.4184397163120568</v>
      </c>
      <c r="K13" s="100">
        <v>3</v>
      </c>
      <c r="L13" s="97"/>
      <c r="M13" s="98">
        <f t="shared" si="4"/>
        <v>3</v>
      </c>
      <c r="N13" s="99">
        <f t="shared" si="5"/>
        <v>2.112676056338028</v>
      </c>
      <c r="O13" s="101">
        <v>3</v>
      </c>
      <c r="P13" s="97"/>
      <c r="Q13" s="98">
        <f t="shared" si="6"/>
        <v>3</v>
      </c>
      <c r="R13" s="99">
        <f t="shared" si="7"/>
        <v>1.9607843137254901</v>
      </c>
      <c r="S13" s="102">
        <f t="shared" si="8"/>
        <v>150</v>
      </c>
      <c r="T13" s="103">
        <f t="shared" si="9"/>
        <v>150</v>
      </c>
      <c r="U13" s="99">
        <f t="shared" si="10"/>
        <v>100</v>
      </c>
    </row>
    <row r="14" spans="1:23" ht="34.5" customHeight="1" x14ac:dyDescent="0.25">
      <c r="A14" s="104" t="s">
        <v>105</v>
      </c>
      <c r="B14" s="105" t="s">
        <v>106</v>
      </c>
      <c r="C14" s="106">
        <v>38</v>
      </c>
      <c r="D14" s="107"/>
      <c r="E14" s="108">
        <f t="shared" si="0"/>
        <v>38</v>
      </c>
      <c r="F14" s="99">
        <f t="shared" si="1"/>
        <v>30.64516129032258</v>
      </c>
      <c r="G14" s="106">
        <v>50</v>
      </c>
      <c r="H14" s="107"/>
      <c r="I14" s="108">
        <f t="shared" si="2"/>
        <v>50</v>
      </c>
      <c r="J14" s="99">
        <f t="shared" si="3"/>
        <v>35.460992907801419</v>
      </c>
      <c r="K14" s="109">
        <v>47</v>
      </c>
      <c r="L14" s="107"/>
      <c r="M14" s="108">
        <f t="shared" si="4"/>
        <v>47</v>
      </c>
      <c r="N14" s="99">
        <f t="shared" si="5"/>
        <v>33.098591549295776</v>
      </c>
      <c r="O14" s="110">
        <v>55</v>
      </c>
      <c r="P14" s="107"/>
      <c r="Q14" s="108">
        <f t="shared" si="6"/>
        <v>55</v>
      </c>
      <c r="R14" s="99">
        <f t="shared" si="7"/>
        <v>35.947712418300654</v>
      </c>
      <c r="S14" s="102">
        <f t="shared" si="8"/>
        <v>123.68421052631579</v>
      </c>
      <c r="T14" s="103">
        <f t="shared" si="9"/>
        <v>94</v>
      </c>
      <c r="U14" s="99">
        <f t="shared" si="10"/>
        <v>117.02127659574468</v>
      </c>
    </row>
    <row r="15" spans="1:23" ht="34.5" customHeight="1" x14ac:dyDescent="0.25">
      <c r="A15" s="104" t="s">
        <v>107</v>
      </c>
      <c r="B15" s="105" t="s">
        <v>108</v>
      </c>
      <c r="C15" s="106">
        <v>10</v>
      </c>
      <c r="D15" s="107"/>
      <c r="E15" s="108">
        <f t="shared" si="0"/>
        <v>10</v>
      </c>
      <c r="F15" s="99">
        <f t="shared" si="1"/>
        <v>8.064516129032258</v>
      </c>
      <c r="G15" s="106">
        <v>9</v>
      </c>
      <c r="H15" s="107"/>
      <c r="I15" s="108">
        <f t="shared" si="2"/>
        <v>9</v>
      </c>
      <c r="J15" s="99">
        <f t="shared" si="3"/>
        <v>6.3829787234042552</v>
      </c>
      <c r="K15" s="109">
        <v>9</v>
      </c>
      <c r="L15" s="107"/>
      <c r="M15" s="108">
        <f t="shared" si="4"/>
        <v>9</v>
      </c>
      <c r="N15" s="99">
        <f t="shared" si="5"/>
        <v>6.3380281690140841</v>
      </c>
      <c r="O15" s="110">
        <v>8</v>
      </c>
      <c r="P15" s="107"/>
      <c r="Q15" s="108">
        <f t="shared" si="6"/>
        <v>8</v>
      </c>
      <c r="R15" s="99">
        <f t="shared" si="7"/>
        <v>5.2287581699346406</v>
      </c>
      <c r="S15" s="102">
        <f t="shared" si="8"/>
        <v>90</v>
      </c>
      <c r="T15" s="103">
        <f t="shared" si="9"/>
        <v>100</v>
      </c>
      <c r="U15" s="99">
        <f t="shared" si="10"/>
        <v>88.888888888888886</v>
      </c>
    </row>
    <row r="16" spans="1:23" ht="34.5" customHeight="1" x14ac:dyDescent="0.25">
      <c r="A16" s="104" t="s">
        <v>109</v>
      </c>
      <c r="B16" s="111" t="s">
        <v>110</v>
      </c>
      <c r="C16" s="106">
        <v>7</v>
      </c>
      <c r="D16" s="107"/>
      <c r="E16" s="108">
        <f t="shared" si="0"/>
        <v>7</v>
      </c>
      <c r="F16" s="99">
        <f t="shared" si="1"/>
        <v>5.6451612903225801</v>
      </c>
      <c r="G16" s="106">
        <v>5</v>
      </c>
      <c r="H16" s="107"/>
      <c r="I16" s="108">
        <f t="shared" si="2"/>
        <v>5</v>
      </c>
      <c r="J16" s="99">
        <f t="shared" si="3"/>
        <v>3.5460992907801421</v>
      </c>
      <c r="K16" s="109">
        <v>5</v>
      </c>
      <c r="L16" s="107"/>
      <c r="M16" s="108">
        <f t="shared" si="4"/>
        <v>5</v>
      </c>
      <c r="N16" s="99">
        <f t="shared" si="5"/>
        <v>3.5211267605633805</v>
      </c>
      <c r="O16" s="110">
        <v>5</v>
      </c>
      <c r="P16" s="107"/>
      <c r="Q16" s="108">
        <f t="shared" si="6"/>
        <v>5</v>
      </c>
      <c r="R16" s="99">
        <f t="shared" si="7"/>
        <v>3.2679738562091507</v>
      </c>
      <c r="S16" s="102">
        <f t="shared" si="8"/>
        <v>71.428571428571431</v>
      </c>
      <c r="T16" s="103">
        <f t="shared" si="9"/>
        <v>100</v>
      </c>
      <c r="U16" s="99">
        <f t="shared" si="10"/>
        <v>100</v>
      </c>
    </row>
    <row r="17" spans="1:21" ht="34.5" customHeight="1" x14ac:dyDescent="0.25">
      <c r="A17" s="104" t="s">
        <v>111</v>
      </c>
      <c r="B17" s="111" t="s">
        <v>112</v>
      </c>
      <c r="C17" s="106">
        <v>60</v>
      </c>
      <c r="D17" s="107"/>
      <c r="E17" s="108">
        <f t="shared" si="0"/>
        <v>60</v>
      </c>
      <c r="F17" s="99">
        <f t="shared" si="1"/>
        <v>48.387096774193552</v>
      </c>
      <c r="G17" s="106">
        <v>67</v>
      </c>
      <c r="H17" s="107"/>
      <c r="I17" s="108">
        <f t="shared" si="2"/>
        <v>67</v>
      </c>
      <c r="J17" s="99">
        <f t="shared" si="3"/>
        <v>47.5177304964539</v>
      </c>
      <c r="K17" s="109">
        <v>69</v>
      </c>
      <c r="L17" s="107"/>
      <c r="M17" s="108">
        <f t="shared" si="4"/>
        <v>69</v>
      </c>
      <c r="N17" s="99">
        <f t="shared" si="5"/>
        <v>48.591549295774648</v>
      </c>
      <c r="O17" s="110">
        <v>71</v>
      </c>
      <c r="P17" s="107"/>
      <c r="Q17" s="108">
        <f t="shared" si="6"/>
        <v>71</v>
      </c>
      <c r="R17" s="99">
        <f t="shared" si="7"/>
        <v>46.405228758169933</v>
      </c>
      <c r="S17" s="102">
        <f t="shared" si="8"/>
        <v>114.99999999999999</v>
      </c>
      <c r="T17" s="103">
        <f t="shared" si="9"/>
        <v>102.98507462686568</v>
      </c>
      <c r="U17" s="99">
        <f t="shared" si="10"/>
        <v>102.89855072463767</v>
      </c>
    </row>
    <row r="18" spans="1:21" ht="34.5" customHeight="1" x14ac:dyDescent="0.25">
      <c r="A18" s="104" t="s">
        <v>113</v>
      </c>
      <c r="B18" s="111" t="s">
        <v>114</v>
      </c>
      <c r="C18" s="106">
        <v>2</v>
      </c>
      <c r="D18" s="107"/>
      <c r="E18" s="108">
        <f t="shared" si="0"/>
        <v>2</v>
      </c>
      <c r="F18" s="99">
        <f t="shared" si="1"/>
        <v>1.6129032258064515</v>
      </c>
      <c r="G18" s="106">
        <v>1</v>
      </c>
      <c r="H18" s="107"/>
      <c r="I18" s="108">
        <f t="shared" si="2"/>
        <v>1</v>
      </c>
      <c r="J18" s="99">
        <f t="shared" si="3"/>
        <v>0.70921985815602839</v>
      </c>
      <c r="K18" s="109">
        <v>1</v>
      </c>
      <c r="L18" s="107"/>
      <c r="M18" s="108">
        <f t="shared" si="4"/>
        <v>1</v>
      </c>
      <c r="N18" s="99">
        <f t="shared" si="5"/>
        <v>0.70422535211267612</v>
      </c>
      <c r="O18" s="110">
        <v>1</v>
      </c>
      <c r="P18" s="107"/>
      <c r="Q18" s="108">
        <f t="shared" si="6"/>
        <v>1</v>
      </c>
      <c r="R18" s="99">
        <f t="shared" si="7"/>
        <v>0.65359477124183007</v>
      </c>
      <c r="S18" s="102">
        <f t="shared" si="8"/>
        <v>50</v>
      </c>
      <c r="T18" s="103">
        <f t="shared" si="9"/>
        <v>100</v>
      </c>
      <c r="U18" s="99">
        <f t="shared" si="10"/>
        <v>100</v>
      </c>
    </row>
    <row r="19" spans="1:21" ht="34.5" customHeight="1" x14ac:dyDescent="0.25">
      <c r="A19" s="104" t="s">
        <v>115</v>
      </c>
      <c r="B19" s="111" t="s">
        <v>116</v>
      </c>
      <c r="C19" s="106"/>
      <c r="D19" s="107"/>
      <c r="E19" s="108">
        <f t="shared" si="0"/>
        <v>0</v>
      </c>
      <c r="F19" s="99" t="str">
        <f t="shared" si="1"/>
        <v/>
      </c>
      <c r="G19" s="106"/>
      <c r="H19" s="107"/>
      <c r="I19" s="108">
        <f t="shared" si="2"/>
        <v>0</v>
      </c>
      <c r="J19" s="99" t="str">
        <f t="shared" si="3"/>
        <v/>
      </c>
      <c r="K19" s="109">
        <v>0</v>
      </c>
      <c r="L19" s="107"/>
      <c r="M19" s="108">
        <f t="shared" si="4"/>
        <v>0</v>
      </c>
      <c r="N19" s="99" t="str">
        <f t="shared" si="5"/>
        <v/>
      </c>
      <c r="O19" s="110">
        <v>0</v>
      </c>
      <c r="P19" s="107"/>
      <c r="Q19" s="108">
        <f t="shared" si="6"/>
        <v>0</v>
      </c>
      <c r="R19" s="99" t="str">
        <f t="shared" si="7"/>
        <v/>
      </c>
      <c r="S19" s="102">
        <f t="shared" si="8"/>
        <v>0</v>
      </c>
      <c r="T19" s="103">
        <f t="shared" si="9"/>
        <v>0</v>
      </c>
      <c r="U19" s="99">
        <f t="shared" si="10"/>
        <v>0</v>
      </c>
    </row>
    <row r="20" spans="1:21" ht="34.5" customHeight="1" x14ac:dyDescent="0.25">
      <c r="A20" s="104" t="s">
        <v>117</v>
      </c>
      <c r="B20" s="111" t="s">
        <v>116</v>
      </c>
      <c r="C20" s="106">
        <v>3</v>
      </c>
      <c r="D20" s="107"/>
      <c r="E20" s="108">
        <f t="shared" si="0"/>
        <v>3</v>
      </c>
      <c r="F20" s="99">
        <f t="shared" si="1"/>
        <v>2.4193548387096775</v>
      </c>
      <c r="G20" s="106">
        <v>5</v>
      </c>
      <c r="H20" s="107"/>
      <c r="I20" s="108">
        <f t="shared" si="2"/>
        <v>5</v>
      </c>
      <c r="J20" s="99">
        <f t="shared" si="3"/>
        <v>3.5460992907801421</v>
      </c>
      <c r="K20" s="109">
        <v>5</v>
      </c>
      <c r="L20" s="107"/>
      <c r="M20" s="108">
        <f t="shared" si="4"/>
        <v>5</v>
      </c>
      <c r="N20" s="99">
        <f t="shared" si="5"/>
        <v>3.5211267605633805</v>
      </c>
      <c r="O20" s="110">
        <v>5</v>
      </c>
      <c r="P20" s="107"/>
      <c r="Q20" s="108">
        <f t="shared" si="6"/>
        <v>5</v>
      </c>
      <c r="R20" s="99">
        <f t="shared" si="7"/>
        <v>3.2679738562091507</v>
      </c>
      <c r="S20" s="102">
        <f t="shared" si="8"/>
        <v>166.66666666666669</v>
      </c>
      <c r="T20" s="103">
        <f t="shared" si="9"/>
        <v>100</v>
      </c>
      <c r="U20" s="99">
        <f t="shared" si="10"/>
        <v>100</v>
      </c>
    </row>
    <row r="21" spans="1:21" ht="34.5" customHeight="1" thickBot="1" x14ac:dyDescent="0.3">
      <c r="A21" s="112" t="s">
        <v>118</v>
      </c>
      <c r="B21" s="111" t="s">
        <v>119</v>
      </c>
      <c r="C21" s="113">
        <v>1</v>
      </c>
      <c r="D21" s="114"/>
      <c r="E21" s="115">
        <f t="shared" si="0"/>
        <v>1</v>
      </c>
      <c r="F21" s="116">
        <f t="shared" si="1"/>
        <v>0.80645161290322576</v>
      </c>
      <c r="G21" s="113">
        <v>1</v>
      </c>
      <c r="H21" s="114"/>
      <c r="I21" s="115">
        <f t="shared" si="2"/>
        <v>1</v>
      </c>
      <c r="J21" s="116">
        <f t="shared" si="3"/>
        <v>0.70921985815602839</v>
      </c>
      <c r="K21" s="117">
        <v>2</v>
      </c>
      <c r="L21" s="114"/>
      <c r="M21" s="115">
        <f t="shared" si="4"/>
        <v>2</v>
      </c>
      <c r="N21" s="116">
        <f t="shared" si="5"/>
        <v>1.4084507042253522</v>
      </c>
      <c r="O21" s="118">
        <v>4</v>
      </c>
      <c r="P21" s="114"/>
      <c r="Q21" s="115">
        <f t="shared" si="6"/>
        <v>4</v>
      </c>
      <c r="R21" s="116">
        <f t="shared" si="7"/>
        <v>2.6143790849673203</v>
      </c>
      <c r="S21" s="119">
        <f t="shared" si="8"/>
        <v>200</v>
      </c>
      <c r="T21" s="120">
        <f t="shared" si="9"/>
        <v>200</v>
      </c>
      <c r="U21" s="116">
        <f t="shared" si="10"/>
        <v>200</v>
      </c>
    </row>
    <row r="22" spans="1:21" ht="30" customHeight="1" thickBot="1" x14ac:dyDescent="0.3">
      <c r="A22" s="121" t="s">
        <v>120</v>
      </c>
      <c r="B22" s="122"/>
      <c r="C22" s="123">
        <f>SUM(C12:C21)</f>
        <v>124</v>
      </c>
      <c r="D22" s="123">
        <f>SUM(D12:D21)</f>
        <v>0</v>
      </c>
      <c r="E22" s="123">
        <f>SUM(E12:E21)</f>
        <v>124</v>
      </c>
      <c r="F22" s="124">
        <f t="shared" si="1"/>
        <v>100</v>
      </c>
      <c r="G22" s="123">
        <f>SUM(G12:G21)</f>
        <v>141</v>
      </c>
      <c r="H22" s="123">
        <f>SUM(H12:H21)</f>
        <v>0</v>
      </c>
      <c r="I22" s="123">
        <f>SUM(I12:I21)</f>
        <v>141</v>
      </c>
      <c r="J22" s="124">
        <f t="shared" si="3"/>
        <v>100</v>
      </c>
      <c r="K22" s="123">
        <f>SUM(K12:K21)</f>
        <v>142</v>
      </c>
      <c r="L22" s="123">
        <f>SUM(L12:L21)</f>
        <v>0</v>
      </c>
      <c r="M22" s="123">
        <f>SUM(M12:M21)</f>
        <v>142</v>
      </c>
      <c r="N22" s="124">
        <f t="shared" si="5"/>
        <v>100</v>
      </c>
      <c r="O22" s="123">
        <f>SUM(O12:O21)</f>
        <v>153</v>
      </c>
      <c r="P22" s="123">
        <f>SUM(P12:P21)</f>
        <v>0</v>
      </c>
      <c r="Q22" s="123">
        <f>SUM(Q12:Q21)</f>
        <v>153</v>
      </c>
      <c r="R22" s="124">
        <f t="shared" si="7"/>
        <v>100</v>
      </c>
      <c r="S22" s="125">
        <f t="shared" si="8"/>
        <v>114.51612903225808</v>
      </c>
      <c r="T22" s="126">
        <f t="shared" si="9"/>
        <v>100.70921985815602</v>
      </c>
      <c r="U22" s="124">
        <f t="shared" si="10"/>
        <v>107.74647887323943</v>
      </c>
    </row>
    <row r="23" spans="1:21" ht="15.75" thickTop="1" x14ac:dyDescent="0.25"/>
  </sheetData>
  <mergeCells count="24">
    <mergeCell ref="A6:B10"/>
    <mergeCell ref="C6:R6"/>
    <mergeCell ref="S6:U8"/>
    <mergeCell ref="C7:F8"/>
    <mergeCell ref="G7:N7"/>
    <mergeCell ref="A1:G1"/>
    <mergeCell ref="A2:B2"/>
    <mergeCell ref="A3:B3"/>
    <mergeCell ref="A4:U4"/>
    <mergeCell ref="O7:R8"/>
    <mergeCell ref="G8:J8"/>
    <mergeCell ref="K8:N8"/>
    <mergeCell ref="C9:C10"/>
    <mergeCell ref="D9:D10"/>
    <mergeCell ref="E9:F9"/>
    <mergeCell ref="G9:G10"/>
    <mergeCell ref="H9:H10"/>
    <mergeCell ref="I9:J9"/>
    <mergeCell ref="K9:K10"/>
    <mergeCell ref="L9:L10"/>
    <mergeCell ref="M9:N9"/>
    <mergeCell ref="O9:O10"/>
    <mergeCell ref="P9:P10"/>
    <mergeCell ref="Q9:R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8EDE4-8D16-4E2B-8A3F-59BA703DC515}">
  <dimension ref="A1:J12"/>
  <sheetViews>
    <sheetView workbookViewId="0">
      <selection activeCell="A4" sqref="A4:A5"/>
    </sheetView>
  </sheetViews>
  <sheetFormatPr defaultColWidth="8.85546875" defaultRowHeight="16.5" x14ac:dyDescent="0.3"/>
  <cols>
    <col min="1" max="1" width="6.42578125" style="2" customWidth="1"/>
    <col min="2" max="2" width="41.28515625" style="2" customWidth="1"/>
    <col min="3" max="3" width="9.28515625" style="2" customWidth="1"/>
    <col min="4" max="7" width="11.140625" style="2" customWidth="1"/>
    <col min="8" max="10" width="7.7109375" style="2" customWidth="1"/>
    <col min="11" max="16384" width="8.85546875" style="2"/>
  </cols>
  <sheetData>
    <row r="1" spans="1:10" x14ac:dyDescent="0.3">
      <c r="A1" s="738" t="s">
        <v>530</v>
      </c>
      <c r="B1" s="738"/>
    </row>
    <row r="3" spans="1:10" x14ac:dyDescent="0.3">
      <c r="A3" s="2" t="s">
        <v>531</v>
      </c>
    </row>
    <row r="4" spans="1:10" x14ac:dyDescent="0.3">
      <c r="A4" s="644" t="s">
        <v>517</v>
      </c>
      <c r="B4" s="712" t="s">
        <v>518</v>
      </c>
      <c r="C4" s="644" t="s">
        <v>519</v>
      </c>
      <c r="D4" s="644" t="s">
        <v>520</v>
      </c>
      <c r="E4" s="644" t="s">
        <v>70</v>
      </c>
      <c r="F4" s="644"/>
      <c r="G4" s="644" t="s">
        <v>521</v>
      </c>
      <c r="H4" s="713" t="s">
        <v>71</v>
      </c>
      <c r="I4" s="714"/>
      <c r="J4" s="715"/>
    </row>
    <row r="5" spans="1:10" ht="27" x14ac:dyDescent="0.3">
      <c r="A5" s="712"/>
      <c r="B5" s="712"/>
      <c r="C5" s="644"/>
      <c r="D5" s="644"/>
      <c r="E5" s="5" t="s">
        <v>491</v>
      </c>
      <c r="F5" s="5" t="s">
        <v>8</v>
      </c>
      <c r="G5" s="644"/>
      <c r="H5" s="716" t="s">
        <v>78</v>
      </c>
      <c r="I5" s="716" t="s">
        <v>11</v>
      </c>
      <c r="J5" s="716" t="s">
        <v>522</v>
      </c>
    </row>
    <row r="6" spans="1:10" s="9" customFormat="1" ht="11.25" x14ac:dyDescent="0.25">
      <c r="A6" s="717">
        <v>1</v>
      </c>
      <c r="B6" s="717">
        <v>2</v>
      </c>
      <c r="C6" s="717">
        <v>3</v>
      </c>
      <c r="D6" s="717">
        <v>4</v>
      </c>
      <c r="E6" s="717">
        <v>5</v>
      </c>
      <c r="F6" s="717">
        <v>6</v>
      </c>
      <c r="G6" s="717">
        <v>7</v>
      </c>
      <c r="H6" s="717">
        <v>8</v>
      </c>
      <c r="I6" s="717">
        <v>9</v>
      </c>
      <c r="J6" s="717">
        <v>10</v>
      </c>
    </row>
    <row r="7" spans="1:10" x14ac:dyDescent="0.3">
      <c r="A7" s="718" t="s">
        <v>12</v>
      </c>
      <c r="B7" s="719" t="s">
        <v>523</v>
      </c>
      <c r="C7" s="720"/>
      <c r="D7" s="721"/>
      <c r="E7" s="722"/>
      <c r="F7" s="723"/>
      <c r="G7" s="723"/>
      <c r="H7" s="724" t="str">
        <f>IF(D7=0,"",F7/D7*100)</f>
        <v/>
      </c>
      <c r="I7" s="724" t="str">
        <f>IF(E7=0,"",F7/E7*100)</f>
        <v/>
      </c>
      <c r="J7" s="724" t="str">
        <f>IF(F7=0,"",G7/F7*100)</f>
        <v/>
      </c>
    </row>
    <row r="8" spans="1:10" x14ac:dyDescent="0.3">
      <c r="A8" s="725" t="s">
        <v>14</v>
      </c>
      <c r="B8" s="726" t="s">
        <v>524</v>
      </c>
      <c r="C8" s="727" t="s">
        <v>72</v>
      </c>
      <c r="D8" s="728">
        <f>+[2]naturalni!D16</f>
        <v>23379</v>
      </c>
      <c r="E8" s="728">
        <f>+[2]naturalni!K16</f>
        <v>29189</v>
      </c>
      <c r="F8" s="728">
        <f>+[2]naturalni!R16</f>
        <v>30557</v>
      </c>
      <c r="G8" s="728">
        <f>+[2]naturalni!Y16</f>
        <v>24195</v>
      </c>
      <c r="H8" s="729">
        <f>+F8/D8*100</f>
        <v>130.70276744086573</v>
      </c>
      <c r="I8" s="729">
        <f>+F8/E8*100</f>
        <v>104.68669704340677</v>
      </c>
      <c r="J8" s="729">
        <f>G8/F8*100</f>
        <v>79.179893314134247</v>
      </c>
    </row>
    <row r="9" spans="1:10" x14ac:dyDescent="0.3">
      <c r="A9" s="730" t="s">
        <v>258</v>
      </c>
      <c r="B9" s="726" t="s">
        <v>525</v>
      </c>
      <c r="C9" s="727" t="s">
        <v>72</v>
      </c>
      <c r="D9" s="728">
        <f>+[2]naturalni!E16</f>
        <v>6544</v>
      </c>
      <c r="E9" s="728">
        <f>+[2]naturalni!L16</f>
        <v>8233</v>
      </c>
      <c r="F9" s="728">
        <f>+[2]naturalni!S16</f>
        <v>8717</v>
      </c>
      <c r="G9" s="728">
        <f>+[2]naturalni!Z16</f>
        <v>7050</v>
      </c>
      <c r="H9" s="729">
        <f>+F9/D9*100</f>
        <v>133.2059902200489</v>
      </c>
      <c r="I9" s="729">
        <f>+F9/E9*100</f>
        <v>105.87878051742985</v>
      </c>
      <c r="J9" s="729">
        <f t="shared" ref="J9:J12" si="0">G9/F9*100</f>
        <v>80.876448319375939</v>
      </c>
    </row>
    <row r="10" spans="1:10" x14ac:dyDescent="0.3">
      <c r="A10" s="730" t="s">
        <v>260</v>
      </c>
      <c r="B10" s="726" t="s">
        <v>526</v>
      </c>
      <c r="C10" s="727" t="s">
        <v>527</v>
      </c>
      <c r="D10" s="728">
        <f>+[2]naturalni!F16</f>
        <v>696</v>
      </c>
      <c r="E10" s="728">
        <f>+[2]naturalni!M16</f>
        <v>802</v>
      </c>
      <c r="F10" s="728">
        <f>+[2]naturalni!T16</f>
        <v>838</v>
      </c>
      <c r="G10" s="728">
        <f>+[2]naturalni!AA16</f>
        <v>731</v>
      </c>
      <c r="H10" s="729">
        <f>+F10/D10*100</f>
        <v>120.40229885057472</v>
      </c>
      <c r="I10" s="729">
        <f>+F10/E10*100</f>
        <v>104.48877805486285</v>
      </c>
      <c r="J10" s="729">
        <f t="shared" si="0"/>
        <v>87.23150357995226</v>
      </c>
    </row>
    <row r="11" spans="1:10" x14ac:dyDescent="0.3">
      <c r="A11" s="730" t="s">
        <v>262</v>
      </c>
      <c r="B11" s="731" t="s">
        <v>528</v>
      </c>
      <c r="C11" s="727" t="s">
        <v>527</v>
      </c>
      <c r="D11" s="728">
        <f>+[2]naturalni!G16</f>
        <v>34707</v>
      </c>
      <c r="E11" s="728">
        <f>+[2]naturalni!N16</f>
        <v>33457</v>
      </c>
      <c r="F11" s="728">
        <f>+[2]naturalni!U16</f>
        <v>32690</v>
      </c>
      <c r="G11" s="728">
        <f>+[2]naturalni!AB16</f>
        <v>32200</v>
      </c>
      <c r="H11" s="729">
        <f>+F11/D11*100</f>
        <v>94.18849223499582</v>
      </c>
      <c r="I11" s="729">
        <f>+F11/E11*100</f>
        <v>97.707505155871715</v>
      </c>
      <c r="J11" s="729">
        <f t="shared" si="0"/>
        <v>98.501070663811561</v>
      </c>
    </row>
    <row r="12" spans="1:10" x14ac:dyDescent="0.3">
      <c r="A12" s="732" t="s">
        <v>17</v>
      </c>
      <c r="B12" s="733" t="s">
        <v>529</v>
      </c>
      <c r="C12" s="734" t="s">
        <v>72</v>
      </c>
      <c r="D12" s="735">
        <v>174336</v>
      </c>
      <c r="E12" s="736">
        <v>175877</v>
      </c>
      <c r="F12" s="735">
        <f>+'[2]zakup procj i plan'!I11</f>
        <v>175877</v>
      </c>
      <c r="G12" s="735">
        <f>+'[2]zakup procj i plan'!I22</f>
        <v>176877</v>
      </c>
      <c r="H12" s="737">
        <f>+F12/D12*100</f>
        <v>100.88392529368575</v>
      </c>
      <c r="I12" s="737">
        <f>+F12/E12*100</f>
        <v>100</v>
      </c>
      <c r="J12" s="737">
        <f t="shared" si="0"/>
        <v>100.56857917749336</v>
      </c>
    </row>
  </sheetData>
  <mergeCells count="8">
    <mergeCell ref="G4:G5"/>
    <mergeCell ref="H4:J4"/>
    <mergeCell ref="A1:B1"/>
    <mergeCell ref="A4:A5"/>
    <mergeCell ref="B4:B5"/>
    <mergeCell ref="C4:C5"/>
    <mergeCell ref="D4:D5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8317-C623-41EE-BAEC-C55029C2CBEE}">
  <dimension ref="A1:I35"/>
  <sheetViews>
    <sheetView tabSelected="1" workbookViewId="0">
      <selection activeCell="D9" sqref="D9"/>
    </sheetView>
  </sheetViews>
  <sheetFormatPr defaultColWidth="9.140625" defaultRowHeight="16.5" x14ac:dyDescent="0.3"/>
  <cols>
    <col min="1" max="1" width="9.140625" style="743"/>
    <col min="2" max="2" width="41.28515625" style="743" customWidth="1"/>
    <col min="3" max="6" width="11.140625" style="743" customWidth="1"/>
    <col min="7" max="9" width="7.7109375" style="743" customWidth="1"/>
    <col min="10" max="16384" width="9.140625" style="743"/>
  </cols>
  <sheetData>
    <row r="1" spans="1:9" s="739" customFormat="1" ht="16.5" customHeight="1" x14ac:dyDescent="0.25">
      <c r="A1" s="758" t="s">
        <v>562</v>
      </c>
      <c r="B1" s="758"/>
      <c r="C1" s="758"/>
      <c r="D1" s="758"/>
      <c r="E1" s="758"/>
      <c r="F1" s="758"/>
      <c r="G1" s="758"/>
      <c r="H1" s="758"/>
      <c r="I1" s="758"/>
    </row>
    <row r="2" spans="1:9" s="739" customFormat="1" x14ac:dyDescent="0.25">
      <c r="A2" s="757"/>
      <c r="B2" s="757"/>
      <c r="C2" s="757"/>
      <c r="D2" s="757"/>
      <c r="E2" s="757"/>
      <c r="F2" s="757"/>
      <c r="G2" s="757"/>
      <c r="H2" s="757"/>
      <c r="I2" s="757"/>
    </row>
    <row r="3" spans="1:9" x14ac:dyDescent="0.3">
      <c r="A3" s="743" t="s">
        <v>563</v>
      </c>
    </row>
    <row r="4" spans="1:9" x14ac:dyDescent="0.3">
      <c r="A4" s="740" t="s">
        <v>517</v>
      </c>
      <c r="B4" s="741" t="s">
        <v>532</v>
      </c>
      <c r="C4" s="644" t="s">
        <v>533</v>
      </c>
      <c r="D4" s="740" t="s">
        <v>534</v>
      </c>
      <c r="E4" s="740"/>
      <c r="F4" s="740" t="s">
        <v>535</v>
      </c>
      <c r="G4" s="742" t="s">
        <v>71</v>
      </c>
      <c r="H4" s="742"/>
      <c r="I4" s="742"/>
    </row>
    <row r="5" spans="1:9" ht="27" x14ac:dyDescent="0.3">
      <c r="A5" s="741"/>
      <c r="B5" s="741"/>
      <c r="C5" s="644"/>
      <c r="D5" s="744" t="s">
        <v>491</v>
      </c>
      <c r="E5" s="5" t="s">
        <v>8</v>
      </c>
      <c r="F5" s="740"/>
      <c r="G5" s="745" t="s">
        <v>9</v>
      </c>
      <c r="H5" s="745" t="s">
        <v>10</v>
      </c>
      <c r="I5" s="745" t="s">
        <v>11</v>
      </c>
    </row>
    <row r="6" spans="1:9" s="746" customFormat="1" ht="11.25" x14ac:dyDescent="0.25">
      <c r="A6" s="717">
        <v>1</v>
      </c>
      <c r="B6" s="717">
        <v>2</v>
      </c>
      <c r="C6" s="717">
        <v>3</v>
      </c>
      <c r="D6" s="717">
        <v>4</v>
      </c>
      <c r="E6" s="717">
        <v>5</v>
      </c>
      <c r="F6" s="717">
        <v>6</v>
      </c>
      <c r="G6" s="717">
        <v>7</v>
      </c>
      <c r="H6" s="717">
        <v>8</v>
      </c>
      <c r="I6" s="717">
        <v>9</v>
      </c>
    </row>
    <row r="7" spans="1:9" x14ac:dyDescent="0.3">
      <c r="A7" s="747">
        <v>412</v>
      </c>
      <c r="B7" s="747" t="s">
        <v>536</v>
      </c>
      <c r="C7" s="748">
        <f>+C8+C33</f>
        <v>175653</v>
      </c>
      <c r="D7" s="748">
        <f>+D8+D33</f>
        <v>475000</v>
      </c>
      <c r="E7" s="748">
        <f>+E8+E33</f>
        <v>425000</v>
      </c>
      <c r="F7" s="748">
        <f>+F8+F33</f>
        <v>350000</v>
      </c>
      <c r="G7" s="749">
        <f>E7/C7*100</f>
        <v>241.95430764063241</v>
      </c>
      <c r="H7" s="749">
        <f t="shared" ref="H7:H17" si="0">E7/D7*100</f>
        <v>89.473684210526315</v>
      </c>
      <c r="I7" s="749">
        <f t="shared" ref="I7:I17" si="1">+F7/E7*100</f>
        <v>82.35294117647058</v>
      </c>
    </row>
    <row r="8" spans="1:9" x14ac:dyDescent="0.3">
      <c r="A8" s="750">
        <v>4120</v>
      </c>
      <c r="B8" s="751" t="s">
        <v>536</v>
      </c>
      <c r="C8" s="752">
        <f>+SUM(C9:C32)</f>
        <v>170137</v>
      </c>
      <c r="D8" s="752">
        <f>+SUM(D9:D32)</f>
        <v>470000</v>
      </c>
      <c r="E8" s="752">
        <f>+'[2]analitika troškova'!G56</f>
        <v>418000</v>
      </c>
      <c r="F8" s="752">
        <f>+'[2]analitika troškova'!H56</f>
        <v>344000</v>
      </c>
      <c r="G8" s="753">
        <f>E8/C8*100</f>
        <v>245.68436025085668</v>
      </c>
      <c r="H8" s="753">
        <f t="shared" si="0"/>
        <v>88.936170212765958</v>
      </c>
      <c r="I8" s="753">
        <f t="shared" si="1"/>
        <v>82.296650717703344</v>
      </c>
    </row>
    <row r="9" spans="1:9" x14ac:dyDescent="0.3">
      <c r="A9" s="751">
        <v>4120001</v>
      </c>
      <c r="B9" s="751" t="s">
        <v>537</v>
      </c>
      <c r="C9" s="752">
        <f>+'[2]analitika troškova'!E57</f>
        <v>5120</v>
      </c>
      <c r="D9" s="752">
        <f>+'[2]analitika troškova'!F57</f>
        <v>5000</v>
      </c>
      <c r="E9" s="752">
        <f>+'[2]analitika troškova'!G57</f>
        <v>40000</v>
      </c>
      <c r="F9" s="752">
        <f>+'[2]analitika troškova'!H57</f>
        <v>10000</v>
      </c>
      <c r="G9" s="753">
        <f>E9/C9*100</f>
        <v>781.25</v>
      </c>
      <c r="H9" s="753">
        <f t="shared" si="0"/>
        <v>800</v>
      </c>
      <c r="I9" s="753">
        <f t="shared" si="1"/>
        <v>25</v>
      </c>
    </row>
    <row r="10" spans="1:9" x14ac:dyDescent="0.3">
      <c r="A10" s="751">
        <v>4120002</v>
      </c>
      <c r="B10" s="751" t="s">
        <v>538</v>
      </c>
      <c r="C10" s="752">
        <f>+'[2]analitika troškova'!E58</f>
        <v>43154</v>
      </c>
      <c r="D10" s="752">
        <f>+'[2]analitika troškova'!F58</f>
        <v>80000</v>
      </c>
      <c r="E10" s="752">
        <f>+'[2]analitika troškova'!G58</f>
        <v>80000</v>
      </c>
      <c r="F10" s="752">
        <f>+'[2]analitika troškova'!H58</f>
        <v>80000</v>
      </c>
      <c r="G10" s="753">
        <f>E10/C10*100</f>
        <v>185.38258330629839</v>
      </c>
      <c r="H10" s="753">
        <f t="shared" si="0"/>
        <v>100</v>
      </c>
      <c r="I10" s="753">
        <f t="shared" si="1"/>
        <v>100</v>
      </c>
    </row>
    <row r="11" spans="1:9" x14ac:dyDescent="0.3">
      <c r="A11" s="751">
        <v>4120003</v>
      </c>
      <c r="B11" s="751" t="s">
        <v>539</v>
      </c>
      <c r="C11" s="752">
        <f>+'[2]analitika troškova'!E59</f>
        <v>0</v>
      </c>
      <c r="D11" s="752">
        <f>+'[2]analitika troškova'!F59</f>
        <v>5000</v>
      </c>
      <c r="E11" s="752">
        <f>+'[2]analitika troškova'!G59</f>
        <v>5000</v>
      </c>
      <c r="F11" s="752">
        <f>+'[2]analitika troškova'!H59</f>
        <v>5000</v>
      </c>
      <c r="G11" s="753"/>
      <c r="H11" s="753">
        <f t="shared" si="0"/>
        <v>100</v>
      </c>
      <c r="I11" s="753">
        <f t="shared" si="1"/>
        <v>100</v>
      </c>
    </row>
    <row r="12" spans="1:9" x14ac:dyDescent="0.3">
      <c r="A12" s="751">
        <v>4120004</v>
      </c>
      <c r="B12" s="751" t="s">
        <v>540</v>
      </c>
      <c r="C12" s="752">
        <f>+'[2]analitika troškova'!E60</f>
        <v>3513</v>
      </c>
      <c r="D12" s="752">
        <f>+'[2]analitika troškova'!F60</f>
        <v>20000</v>
      </c>
      <c r="E12" s="752">
        <f>+'[2]analitika troškova'!G60</f>
        <v>35000</v>
      </c>
      <c r="F12" s="752">
        <f>+'[2]analitika troškova'!H60</f>
        <v>25000</v>
      </c>
      <c r="G12" s="753">
        <f>E12/C12*100</f>
        <v>996.29945915172209</v>
      </c>
      <c r="H12" s="753">
        <f t="shared" si="0"/>
        <v>175</v>
      </c>
      <c r="I12" s="753">
        <f t="shared" si="1"/>
        <v>71.428571428571431</v>
      </c>
    </row>
    <row r="13" spans="1:9" x14ac:dyDescent="0.3">
      <c r="A13" s="751">
        <v>4120007</v>
      </c>
      <c r="B13" s="751" t="s">
        <v>541</v>
      </c>
      <c r="C13" s="752">
        <f>+'[2]analitika troškova'!E61</f>
        <v>664</v>
      </c>
      <c r="D13" s="752">
        <f>+'[2]analitika troškova'!F61</f>
        <v>5000</v>
      </c>
      <c r="E13" s="752">
        <f>+'[2]analitika troškova'!G61</f>
        <v>5000</v>
      </c>
      <c r="F13" s="752">
        <f>+'[2]analitika troškova'!H61</f>
        <v>5000</v>
      </c>
      <c r="G13" s="753">
        <f t="shared" ref="G13:G17" si="2">E13/C13*100</f>
        <v>753.01204819277109</v>
      </c>
      <c r="H13" s="753">
        <f t="shared" si="0"/>
        <v>100</v>
      </c>
      <c r="I13" s="753">
        <f t="shared" si="1"/>
        <v>100</v>
      </c>
    </row>
    <row r="14" spans="1:9" x14ac:dyDescent="0.3">
      <c r="A14" s="751">
        <v>4120008</v>
      </c>
      <c r="B14" s="751" t="s">
        <v>542</v>
      </c>
      <c r="C14" s="752">
        <f>+'[2]analitika troškova'!E62</f>
        <v>971</v>
      </c>
      <c r="D14" s="752">
        <f>+'[2]analitika troškova'!F62</f>
        <v>30000</v>
      </c>
      <c r="E14" s="752">
        <f>+'[2]analitika troškova'!G62</f>
        <v>30000</v>
      </c>
      <c r="F14" s="752">
        <f>+'[2]analitika troškova'!H62</f>
        <v>20000</v>
      </c>
      <c r="G14" s="753">
        <f t="shared" si="2"/>
        <v>3089.5983522142119</v>
      </c>
      <c r="H14" s="753">
        <f t="shared" si="0"/>
        <v>100</v>
      </c>
      <c r="I14" s="753">
        <f t="shared" si="1"/>
        <v>66.666666666666657</v>
      </c>
    </row>
    <row r="15" spans="1:9" x14ac:dyDescent="0.3">
      <c r="A15" s="751">
        <v>4120009</v>
      </c>
      <c r="B15" s="751" t="s">
        <v>543</v>
      </c>
      <c r="C15" s="752">
        <f>+'[2]analitika troškova'!E63</f>
        <v>16800</v>
      </c>
      <c r="D15" s="752">
        <f>+'[2]analitika troškova'!F63</f>
        <v>40000</v>
      </c>
      <c r="E15" s="752">
        <f>+'[2]analitika troškova'!G63</f>
        <v>45000</v>
      </c>
      <c r="F15" s="752">
        <f>+'[2]analitika troškova'!H63</f>
        <v>40000</v>
      </c>
      <c r="G15" s="753">
        <f t="shared" si="2"/>
        <v>267.85714285714283</v>
      </c>
      <c r="H15" s="753">
        <f t="shared" si="0"/>
        <v>112.5</v>
      </c>
      <c r="I15" s="753">
        <f t="shared" si="1"/>
        <v>88.888888888888886</v>
      </c>
    </row>
    <row r="16" spans="1:9" x14ac:dyDescent="0.3">
      <c r="A16" s="751">
        <v>41200010</v>
      </c>
      <c r="B16" s="751" t="s">
        <v>544</v>
      </c>
      <c r="C16" s="752">
        <f>+'[2]analitika troškova'!E64</f>
        <v>1466</v>
      </c>
      <c r="D16" s="752">
        <f>+'[2]analitika troškova'!F64</f>
        <v>10000</v>
      </c>
      <c r="E16" s="752">
        <f>+'[2]analitika troškova'!G64</f>
        <v>5000</v>
      </c>
      <c r="F16" s="752">
        <f>+'[2]analitika troškova'!H64</f>
        <v>2000</v>
      </c>
      <c r="G16" s="753">
        <f>E16/C16*100</f>
        <v>341.06412005457025</v>
      </c>
      <c r="H16" s="753">
        <f>E16/D16*100</f>
        <v>50</v>
      </c>
      <c r="I16" s="753">
        <f>+F16/E16*100</f>
        <v>40</v>
      </c>
    </row>
    <row r="17" spans="1:9" x14ac:dyDescent="0.3">
      <c r="A17" s="751">
        <v>41200011</v>
      </c>
      <c r="B17" s="751" t="s">
        <v>545</v>
      </c>
      <c r="C17" s="752">
        <f>+'[2]analitika troškova'!E65</f>
        <v>6100</v>
      </c>
      <c r="D17" s="752">
        <f>+'[2]analitika troškova'!F65</f>
        <v>45000</v>
      </c>
      <c r="E17" s="752">
        <f>+'[2]analitika troškova'!G65</f>
        <v>25000</v>
      </c>
      <c r="F17" s="752">
        <f>+'[2]analitika troškova'!H65</f>
        <v>15000</v>
      </c>
      <c r="G17" s="753">
        <f t="shared" si="2"/>
        <v>409.83606557377044</v>
      </c>
      <c r="H17" s="753">
        <f t="shared" si="0"/>
        <v>55.555555555555557</v>
      </c>
      <c r="I17" s="753">
        <f t="shared" si="1"/>
        <v>60</v>
      </c>
    </row>
    <row r="18" spans="1:9" x14ac:dyDescent="0.3">
      <c r="A18" s="751">
        <v>41200012</v>
      </c>
      <c r="B18" s="751" t="s">
        <v>546</v>
      </c>
      <c r="C18" s="752">
        <f>+'[2]analitika troškova'!E66</f>
        <v>0</v>
      </c>
      <c r="D18" s="752">
        <f>+'[2]analitika troškova'!F66</f>
        <v>5000</v>
      </c>
      <c r="E18" s="752">
        <f>+'[2]analitika troškova'!G66</f>
        <v>5000</v>
      </c>
      <c r="F18" s="752">
        <f>+'[2]analitika troškova'!H66</f>
        <v>5000</v>
      </c>
      <c r="G18" s="753"/>
      <c r="H18" s="753">
        <f>E18/D18*100</f>
        <v>100</v>
      </c>
      <c r="I18" s="753">
        <f>+F18/E18*100</f>
        <v>100</v>
      </c>
    </row>
    <row r="19" spans="1:9" x14ac:dyDescent="0.3">
      <c r="A19" s="751">
        <v>41200015</v>
      </c>
      <c r="B19" s="751" t="s">
        <v>547</v>
      </c>
      <c r="C19" s="752">
        <f>+'[2]analitika troškova'!E67</f>
        <v>2074</v>
      </c>
      <c r="D19" s="752">
        <f>+'[2]analitika troškova'!F67</f>
        <v>5000</v>
      </c>
      <c r="E19" s="752">
        <f>+'[2]analitika troškova'!G67</f>
        <v>5000</v>
      </c>
      <c r="F19" s="752">
        <f>+'[2]analitika troškova'!H67</f>
        <v>5000</v>
      </c>
      <c r="G19" s="753">
        <f t="shared" ref="G19:G28" si="3">E19/C19*100</f>
        <v>241.08003857280616</v>
      </c>
      <c r="H19" s="753">
        <f t="shared" ref="H19:H25" si="4">E19/D19*100</f>
        <v>100</v>
      </c>
      <c r="I19" s="753">
        <f t="shared" ref="I19:I25" si="5">+F19/E19*100</f>
        <v>100</v>
      </c>
    </row>
    <row r="20" spans="1:9" x14ac:dyDescent="0.3">
      <c r="A20" s="751">
        <v>41200016</v>
      </c>
      <c r="B20" s="751" t="s">
        <v>548</v>
      </c>
      <c r="C20" s="752">
        <f>+'[2]analitika troškova'!E68</f>
        <v>14482</v>
      </c>
      <c r="D20" s="752">
        <f>+'[2]analitika troškova'!F68</f>
        <v>35000</v>
      </c>
      <c r="E20" s="752">
        <f>+'[2]analitika troškova'!G68</f>
        <v>20000</v>
      </c>
      <c r="F20" s="752">
        <f>+'[2]analitika troškova'!H68</f>
        <v>20000</v>
      </c>
      <c r="G20" s="753">
        <f t="shared" si="3"/>
        <v>138.10247203424942</v>
      </c>
      <c r="H20" s="753">
        <f t="shared" si="4"/>
        <v>57.142857142857139</v>
      </c>
      <c r="I20" s="753">
        <f t="shared" si="5"/>
        <v>100</v>
      </c>
    </row>
    <row r="21" spans="1:9" x14ac:dyDescent="0.3">
      <c r="A21" s="751">
        <v>41200017</v>
      </c>
      <c r="B21" s="751" t="s">
        <v>549</v>
      </c>
      <c r="C21" s="752">
        <f>+'[2]analitika troškova'!E69</f>
        <v>654</v>
      </c>
      <c r="D21" s="752">
        <f>+'[2]analitika troškova'!F69</f>
        <v>10000</v>
      </c>
      <c r="E21" s="752">
        <f>+'[2]analitika troškova'!G69</f>
        <v>10000</v>
      </c>
      <c r="F21" s="752">
        <f>+'[2]analitika troškova'!H69</f>
        <v>10000</v>
      </c>
      <c r="G21" s="753">
        <f>E21/C21*100</f>
        <v>1529.051987767584</v>
      </c>
      <c r="H21" s="753">
        <f>E21/D21*100</f>
        <v>100</v>
      </c>
      <c r="I21" s="753">
        <f>+F21/E21*100</f>
        <v>100</v>
      </c>
    </row>
    <row r="22" spans="1:9" x14ac:dyDescent="0.3">
      <c r="A22" s="751">
        <v>41200018</v>
      </c>
      <c r="B22" s="751" t="s">
        <v>550</v>
      </c>
      <c r="C22" s="752">
        <f>+'[2]analitika troškova'!E70</f>
        <v>6502</v>
      </c>
      <c r="D22" s="752">
        <f>+'[2]analitika troškova'!F70</f>
        <v>10000</v>
      </c>
      <c r="E22" s="752">
        <f>+'[2]analitika troškova'!G70</f>
        <v>10000</v>
      </c>
      <c r="F22" s="752">
        <f>+'[2]analitika troškova'!H70</f>
        <v>10000</v>
      </c>
      <c r="G22" s="753">
        <f t="shared" si="3"/>
        <v>153.79883112888342</v>
      </c>
      <c r="H22" s="753">
        <f t="shared" si="4"/>
        <v>100</v>
      </c>
      <c r="I22" s="753">
        <f t="shared" si="5"/>
        <v>100</v>
      </c>
    </row>
    <row r="23" spans="1:9" x14ac:dyDescent="0.3">
      <c r="A23" s="751">
        <v>41200019</v>
      </c>
      <c r="B23" s="751" t="s">
        <v>551</v>
      </c>
      <c r="C23" s="752">
        <f>+'[2]analitika troškova'!E71</f>
        <v>2324</v>
      </c>
      <c r="D23" s="752">
        <f>+'[2]analitika troškova'!F71</f>
        <v>5000</v>
      </c>
      <c r="E23" s="752">
        <f>+'[2]analitika troškova'!G71</f>
        <v>4000</v>
      </c>
      <c r="F23" s="752">
        <f>+'[2]analitika troškova'!H71</f>
        <v>3000</v>
      </c>
      <c r="G23" s="753">
        <f t="shared" si="3"/>
        <v>172.11703958691911</v>
      </c>
      <c r="H23" s="753">
        <f t="shared" si="4"/>
        <v>80</v>
      </c>
      <c r="I23" s="753">
        <f t="shared" si="5"/>
        <v>75</v>
      </c>
    </row>
    <row r="24" spans="1:9" x14ac:dyDescent="0.3">
      <c r="A24" s="751">
        <v>41200020</v>
      </c>
      <c r="B24" s="751" t="s">
        <v>552</v>
      </c>
      <c r="C24" s="752">
        <f>+'[2]analitika troškova'!E72</f>
        <v>11837</v>
      </c>
      <c r="D24" s="752">
        <f>+'[2]analitika troškova'!F72</f>
        <v>15000</v>
      </c>
      <c r="E24" s="752">
        <f>+'[2]analitika troškova'!G72</f>
        <v>10000</v>
      </c>
      <c r="F24" s="752">
        <f>+'[2]analitika troškova'!H72</f>
        <v>10000</v>
      </c>
      <c r="G24" s="753">
        <f t="shared" si="3"/>
        <v>84.480865084058465</v>
      </c>
      <c r="H24" s="753">
        <f t="shared" si="4"/>
        <v>66.666666666666657</v>
      </c>
      <c r="I24" s="753">
        <f t="shared" si="5"/>
        <v>100</v>
      </c>
    </row>
    <row r="25" spans="1:9" x14ac:dyDescent="0.3">
      <c r="A25" s="751">
        <v>41200021</v>
      </c>
      <c r="B25" s="751" t="s">
        <v>553</v>
      </c>
      <c r="C25" s="752">
        <f>+'[2]analitika troškova'!E73</f>
        <v>0</v>
      </c>
      <c r="D25" s="752">
        <f>+'[2]analitika troškova'!F73</f>
        <v>20000</v>
      </c>
      <c r="E25" s="752">
        <f>+'[2]analitika troškova'!G73</f>
        <v>24000</v>
      </c>
      <c r="F25" s="752">
        <f>+'[2]analitika troškova'!H73</f>
        <v>20000</v>
      </c>
      <c r="G25" s="753"/>
      <c r="H25" s="753">
        <f t="shared" si="4"/>
        <v>120</v>
      </c>
      <c r="I25" s="753">
        <f t="shared" si="5"/>
        <v>83.333333333333343</v>
      </c>
    </row>
    <row r="26" spans="1:9" x14ac:dyDescent="0.3">
      <c r="A26" s="751">
        <v>41200022</v>
      </c>
      <c r="B26" s="751" t="s">
        <v>554</v>
      </c>
      <c r="C26" s="752">
        <f>+'[2]analitika troškova'!E74</f>
        <v>30437</v>
      </c>
      <c r="D26" s="752">
        <f>+'[2]analitika troškova'!F74</f>
        <v>101000</v>
      </c>
      <c r="E26" s="752">
        <f>+'[2]analitika troškova'!G74</f>
        <v>40000</v>
      </c>
      <c r="F26" s="752">
        <f>+'[2]analitika troškova'!H74</f>
        <v>40000</v>
      </c>
      <c r="G26" s="753">
        <f t="shared" si="3"/>
        <v>131.41899661596085</v>
      </c>
      <c r="H26" s="753">
        <f>E26/D26*100</f>
        <v>39.603960396039604</v>
      </c>
      <c r="I26" s="753">
        <f>+F26/E26*100</f>
        <v>100</v>
      </c>
    </row>
    <row r="27" spans="1:9" x14ac:dyDescent="0.3">
      <c r="A27" s="751">
        <v>41200024</v>
      </c>
      <c r="B27" s="751" t="s">
        <v>555</v>
      </c>
      <c r="C27" s="752">
        <f>+'[2]analitika troškova'!E75</f>
        <v>12370</v>
      </c>
      <c r="D27" s="752">
        <f>+'[2]analitika troškova'!F75</f>
        <v>0</v>
      </c>
      <c r="E27" s="752">
        <f>+'[2]analitika troškova'!G75</f>
        <v>6000</v>
      </c>
      <c r="F27" s="752">
        <f>+'[2]analitika troškova'!H75</f>
        <v>6000</v>
      </c>
      <c r="G27" s="753">
        <f t="shared" si="3"/>
        <v>48.504446240905416</v>
      </c>
      <c r="H27" s="753"/>
      <c r="I27" s="753"/>
    </row>
    <row r="28" spans="1:9" x14ac:dyDescent="0.3">
      <c r="A28" s="649">
        <v>41200025</v>
      </c>
      <c r="B28" s="649" t="s">
        <v>556</v>
      </c>
      <c r="C28" s="752">
        <f>+'[2]analitika troškova'!E76</f>
        <v>1207</v>
      </c>
      <c r="D28" s="752">
        <f>+'[2]analitika troškova'!F76</f>
        <v>0</v>
      </c>
      <c r="E28" s="752">
        <f>+'[2]analitika troškova'!G76</f>
        <v>1000</v>
      </c>
      <c r="F28" s="752" t="str">
        <f>+'[2]analitika troškova'!H76</f>
        <v> </v>
      </c>
      <c r="G28" s="753">
        <f t="shared" si="3"/>
        <v>82.85004142502072</v>
      </c>
      <c r="H28" s="753"/>
      <c r="I28" s="753"/>
    </row>
    <row r="29" spans="1:9" x14ac:dyDescent="0.3">
      <c r="A29" s="649">
        <v>41200026</v>
      </c>
      <c r="B29" s="649" t="s">
        <v>557</v>
      </c>
      <c r="C29" s="752">
        <f>+'[2]analitika troškova'!E77</f>
        <v>1490</v>
      </c>
      <c r="D29" s="752">
        <f>+'[2]analitika troškova'!F77</f>
        <v>2000</v>
      </c>
      <c r="E29" s="752">
        <f>+'[2]analitika troškova'!G77</f>
        <v>2000</v>
      </c>
      <c r="F29" s="752" t="str">
        <f>+'[2]analitika troškova'!H77</f>
        <v> </v>
      </c>
      <c r="G29" s="753">
        <f>E29/C29*100</f>
        <v>134.2281879194631</v>
      </c>
      <c r="H29" s="753">
        <f>E29/D29*100</f>
        <v>100</v>
      </c>
      <c r="I29" s="753"/>
    </row>
    <row r="30" spans="1:9" x14ac:dyDescent="0.3">
      <c r="A30" s="649">
        <v>41200027</v>
      </c>
      <c r="B30" s="649" t="s">
        <v>558</v>
      </c>
      <c r="C30" s="752">
        <f>+'[2]analitika troškova'!E78</f>
        <v>0</v>
      </c>
      <c r="D30" s="752">
        <f>+'[2]analitika troškova'!F78</f>
        <v>10000</v>
      </c>
      <c r="E30" s="752">
        <f>+'[2]analitika troškova'!G78</f>
        <v>2000</v>
      </c>
      <c r="F30" s="752">
        <f>+'[2]analitika troškova'!H78</f>
        <v>3000</v>
      </c>
      <c r="G30" s="753"/>
      <c r="H30" s="753">
        <f>E30/D30*100</f>
        <v>20</v>
      </c>
      <c r="I30" s="753">
        <f>+F30/E30*100</f>
        <v>150</v>
      </c>
    </row>
    <row r="31" spans="1:9" x14ac:dyDescent="0.3">
      <c r="A31" s="649">
        <v>41200028</v>
      </c>
      <c r="B31" s="649" t="s">
        <v>559</v>
      </c>
      <c r="C31" s="752">
        <f>+'[2]analitika troškova'!E79</f>
        <v>101</v>
      </c>
      <c r="D31" s="752">
        <f>+'[2]analitika troškova'!F79</f>
        <v>2000</v>
      </c>
      <c r="E31" s="752">
        <f>+'[2]analitika troškova'!G79</f>
        <v>1000</v>
      </c>
      <c r="F31" s="752">
        <f>+'[2]analitika troškova'!H79</f>
        <v>2000</v>
      </c>
      <c r="G31" s="753">
        <f>E31/C31*100</f>
        <v>990.09900990099004</v>
      </c>
      <c r="H31" s="753">
        <f>E31/D31*100</f>
        <v>50</v>
      </c>
      <c r="I31" s="753">
        <f>+F31/E31*100</f>
        <v>200</v>
      </c>
    </row>
    <row r="32" spans="1:9" x14ac:dyDescent="0.3">
      <c r="A32" s="649">
        <v>41200034</v>
      </c>
      <c r="B32" s="649" t="s">
        <v>560</v>
      </c>
      <c r="C32" s="752">
        <f>+'[2]analitika troškova'!E80</f>
        <v>8871</v>
      </c>
      <c r="D32" s="752">
        <f>+'[2]analitika troškova'!F80</f>
        <v>10000</v>
      </c>
      <c r="E32" s="752">
        <f>+'[2]analitika troškova'!G80</f>
        <v>8000</v>
      </c>
      <c r="F32" s="752">
        <f>+'[2]analitika troškova'!H80</f>
        <v>8000</v>
      </c>
      <c r="G32" s="753">
        <f>E32/C32*100</f>
        <v>90.181490249126355</v>
      </c>
      <c r="H32" s="753">
        <f>E32/D32*100</f>
        <v>80</v>
      </c>
      <c r="I32" s="753">
        <f>+F32/E32*100</f>
        <v>100</v>
      </c>
    </row>
    <row r="33" spans="1:9" x14ac:dyDescent="0.3">
      <c r="A33" s="653">
        <v>4123</v>
      </c>
      <c r="B33" s="653" t="s">
        <v>561</v>
      </c>
      <c r="C33" s="754">
        <v>5516</v>
      </c>
      <c r="D33" s="754">
        <f>+'[2]analitika troškova'!F81</f>
        <v>5000</v>
      </c>
      <c r="E33" s="754">
        <f>+'[2]analitika troškova'!G81</f>
        <v>7000</v>
      </c>
      <c r="F33" s="754">
        <f>+'[2]analitika troškova'!H81</f>
        <v>6000</v>
      </c>
      <c r="G33" s="755">
        <f>E33/C33*100</f>
        <v>126.90355329949239</v>
      </c>
      <c r="H33" s="755">
        <f>E33/D33*100</f>
        <v>140</v>
      </c>
      <c r="I33" s="755">
        <f>+F33/E33*100</f>
        <v>85.714285714285708</v>
      </c>
    </row>
    <row r="34" spans="1:9" x14ac:dyDescent="0.3">
      <c r="F34" s="756"/>
    </row>
    <row r="35" spans="1:9" x14ac:dyDescent="0.3">
      <c r="F35" s="756"/>
    </row>
  </sheetData>
  <mergeCells count="6">
    <mergeCell ref="A4:A5"/>
    <mergeCell ref="B4:B5"/>
    <mergeCell ref="C4:C5"/>
    <mergeCell ref="D4:E4"/>
    <mergeCell ref="F4:F5"/>
    <mergeCell ref="G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EF032-E536-4618-BC27-266049A09FF1}">
  <dimension ref="A1:J11"/>
  <sheetViews>
    <sheetView workbookViewId="0">
      <selection activeCell="A4" sqref="A4:A5"/>
    </sheetView>
  </sheetViews>
  <sheetFormatPr defaultColWidth="7.85546875" defaultRowHeight="16.5" x14ac:dyDescent="0.25"/>
  <cols>
    <col min="1" max="1" width="5.7109375" style="759" customWidth="1"/>
    <col min="2" max="2" width="41.28515625" style="759" customWidth="1"/>
    <col min="3" max="3" width="10.140625" style="759" hidden="1" customWidth="1"/>
    <col min="4" max="4" width="11.140625" style="759" customWidth="1"/>
    <col min="5" max="5" width="12.7109375" style="759" customWidth="1"/>
    <col min="6" max="6" width="12.42578125" style="759" customWidth="1"/>
    <col min="7" max="7" width="12.140625" style="759" customWidth="1"/>
    <col min="8" max="10" width="7.7109375" style="759" customWidth="1"/>
    <col min="11" max="16384" width="7.85546875" style="759"/>
  </cols>
  <sheetData>
    <row r="1" spans="1:10" x14ac:dyDescent="0.25">
      <c r="A1" s="760" t="s">
        <v>572</v>
      </c>
      <c r="B1" s="760"/>
    </row>
    <row r="3" spans="1:10" x14ac:dyDescent="0.25">
      <c r="A3" s="759" t="s">
        <v>573</v>
      </c>
      <c r="B3" s="761"/>
      <c r="C3" s="761"/>
      <c r="D3" s="761"/>
      <c r="E3" s="761"/>
      <c r="F3" s="761"/>
      <c r="G3" s="761"/>
      <c r="H3" s="761"/>
      <c r="I3" s="761"/>
    </row>
    <row r="4" spans="1:10" x14ac:dyDescent="0.25">
      <c r="A4" s="644" t="s">
        <v>564</v>
      </c>
      <c r="B4" s="712" t="s">
        <v>565</v>
      </c>
      <c r="C4" s="644" t="s">
        <v>566</v>
      </c>
      <c r="D4" s="644" t="s">
        <v>489</v>
      </c>
      <c r="E4" s="644" t="s">
        <v>70</v>
      </c>
      <c r="F4" s="644"/>
      <c r="G4" s="644" t="s">
        <v>567</v>
      </c>
      <c r="H4" s="762" t="s">
        <v>71</v>
      </c>
      <c r="I4" s="762"/>
      <c r="J4" s="762"/>
    </row>
    <row r="5" spans="1:10" ht="27" x14ac:dyDescent="0.25">
      <c r="A5" s="712"/>
      <c r="B5" s="712"/>
      <c r="C5" s="644"/>
      <c r="D5" s="644"/>
      <c r="E5" s="5" t="s">
        <v>491</v>
      </c>
      <c r="F5" s="5" t="s">
        <v>8</v>
      </c>
      <c r="G5" s="644"/>
      <c r="H5" s="763" t="s">
        <v>9</v>
      </c>
      <c r="I5" s="763" t="s">
        <v>10</v>
      </c>
      <c r="J5" s="763" t="s">
        <v>11</v>
      </c>
    </row>
    <row r="6" spans="1:10" s="765" customFormat="1" ht="11.25" x14ac:dyDescent="0.25">
      <c r="A6" s="764">
        <v>1</v>
      </c>
      <c r="B6" s="764">
        <v>2</v>
      </c>
      <c r="C6" s="764">
        <v>3</v>
      </c>
      <c r="D6" s="764">
        <v>3</v>
      </c>
      <c r="E6" s="764">
        <v>4</v>
      </c>
      <c r="F6" s="764">
        <v>5</v>
      </c>
      <c r="G6" s="764">
        <v>6</v>
      </c>
      <c r="H6" s="764">
        <v>7</v>
      </c>
      <c r="I6" s="764">
        <v>8</v>
      </c>
      <c r="J6" s="764">
        <v>9</v>
      </c>
    </row>
    <row r="7" spans="1:10" x14ac:dyDescent="0.25">
      <c r="A7" s="766">
        <v>1</v>
      </c>
      <c r="B7" s="767" t="s">
        <v>568</v>
      </c>
      <c r="C7" s="767"/>
      <c r="D7" s="768">
        <f>+'[2]analitika troškova'!E22</f>
        <v>3400015</v>
      </c>
      <c r="E7" s="768">
        <f>+'[2]analitika troškova'!F22</f>
        <v>1450000</v>
      </c>
      <c r="F7" s="768">
        <f>+'[2]analitika troškova'!G22</f>
        <v>1610000</v>
      </c>
      <c r="G7" s="768">
        <f>+'[2]analitika troškova'!H22</f>
        <v>1720000</v>
      </c>
      <c r="H7" s="769">
        <f>+F7/D7*100</f>
        <v>47.352732267357645</v>
      </c>
      <c r="I7" s="769">
        <f t="shared" ref="I7:J11" si="0">+F7/E7*100</f>
        <v>111.03448275862068</v>
      </c>
      <c r="J7" s="769">
        <f t="shared" si="0"/>
        <v>106.83229813664596</v>
      </c>
    </row>
    <row r="8" spans="1:10" x14ac:dyDescent="0.25">
      <c r="A8" s="770">
        <v>2</v>
      </c>
      <c r="B8" s="771" t="s">
        <v>569</v>
      </c>
      <c r="C8" s="771"/>
      <c r="D8" s="728"/>
      <c r="E8" s="728"/>
      <c r="F8" s="728">
        <f>+'[2]analitika troškova'!G23</f>
        <v>9000</v>
      </c>
      <c r="G8" s="728">
        <f>+'[2]analitika troškova'!H23</f>
        <v>10000</v>
      </c>
      <c r="H8" s="772"/>
      <c r="I8" s="772"/>
      <c r="J8" s="772">
        <f t="shared" si="0"/>
        <v>111.11111111111111</v>
      </c>
    </row>
    <row r="9" spans="1:10" x14ac:dyDescent="0.25">
      <c r="A9" s="770">
        <v>3</v>
      </c>
      <c r="B9" s="771" t="s">
        <v>570</v>
      </c>
      <c r="C9" s="771"/>
      <c r="D9" s="728">
        <f>+'[2]analitika troškova'!E24</f>
        <v>1222047</v>
      </c>
      <c r="E9" s="728">
        <f>+'[2]analitika troškova'!F24</f>
        <v>850000</v>
      </c>
      <c r="F9" s="728">
        <f>+'[2]analitika troškova'!G24</f>
        <v>850000</v>
      </c>
      <c r="G9" s="728">
        <f>+'[2]analitika troškova'!H24</f>
        <v>900000</v>
      </c>
      <c r="H9" s="772">
        <f>+F9/D9*100</f>
        <v>69.55542626429262</v>
      </c>
      <c r="I9" s="772">
        <f t="shared" si="0"/>
        <v>100</v>
      </c>
      <c r="J9" s="772">
        <f t="shared" si="0"/>
        <v>105.88235294117648</v>
      </c>
    </row>
    <row r="10" spans="1:10" x14ac:dyDescent="0.25">
      <c r="A10" s="770">
        <v>4</v>
      </c>
      <c r="B10" s="771" t="s">
        <v>571</v>
      </c>
      <c r="C10" s="771"/>
      <c r="D10" s="728">
        <f>+'[2]analitika troškova'!E25</f>
        <v>10293</v>
      </c>
      <c r="E10" s="728">
        <f>+'[2]analitika troškova'!F25</f>
        <v>13000</v>
      </c>
      <c r="F10" s="728">
        <f>+'[2]analitika troškova'!G25</f>
        <v>12000</v>
      </c>
      <c r="G10" s="728">
        <f>+'[2]analitika troškova'!H25</f>
        <v>13000</v>
      </c>
      <c r="H10" s="772">
        <f>+F10/D10*100</f>
        <v>116.58408627222386</v>
      </c>
      <c r="I10" s="772">
        <f t="shared" si="0"/>
        <v>92.307692307692307</v>
      </c>
      <c r="J10" s="772">
        <f t="shared" si="0"/>
        <v>108.33333333333333</v>
      </c>
    </row>
    <row r="11" spans="1:10" x14ac:dyDescent="0.25">
      <c r="A11" s="773"/>
      <c r="B11" s="774" t="s">
        <v>120</v>
      </c>
      <c r="C11" s="773"/>
      <c r="D11" s="775">
        <f>SUM(D7:D10)</f>
        <v>4632355</v>
      </c>
      <c r="E11" s="775">
        <f t="shared" ref="E11:G11" si="1">SUM(E7:E10)</f>
        <v>2313000</v>
      </c>
      <c r="F11" s="776">
        <f t="shared" si="1"/>
        <v>2481000</v>
      </c>
      <c r="G11" s="776">
        <f t="shared" si="1"/>
        <v>2643000</v>
      </c>
      <c r="H11" s="777">
        <f>+F11/D11*100</f>
        <v>53.558071434507937</v>
      </c>
      <c r="I11" s="777">
        <f t="shared" si="0"/>
        <v>107.2632944228275</v>
      </c>
      <c r="J11" s="777">
        <f t="shared" si="0"/>
        <v>106.52962515114872</v>
      </c>
    </row>
  </sheetData>
  <mergeCells count="8">
    <mergeCell ref="B3:I3"/>
    <mergeCell ref="A4:A5"/>
    <mergeCell ref="B4:B5"/>
    <mergeCell ref="C4:C5"/>
    <mergeCell ref="D4:D5"/>
    <mergeCell ref="E4:F4"/>
    <mergeCell ref="G4:G5"/>
    <mergeCell ref="H4:J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CE39B-8C0F-43FA-955B-7174617B54BA}">
  <dimension ref="A1:U26"/>
  <sheetViews>
    <sheetView workbookViewId="0">
      <selection activeCell="A4" sqref="A4"/>
    </sheetView>
  </sheetViews>
  <sheetFormatPr defaultRowHeight="16.5" x14ac:dyDescent="0.3"/>
  <cols>
    <col min="1" max="1" width="4.5703125" style="856" customWidth="1"/>
    <col min="2" max="2" width="37.140625" style="856" customWidth="1"/>
    <col min="3" max="3" width="12.7109375" style="856" customWidth="1"/>
    <col min="4" max="4" width="5.7109375" style="856" customWidth="1"/>
    <col min="5" max="5" width="12.7109375" style="856" customWidth="1"/>
    <col min="6" max="6" width="5.7109375" style="856" customWidth="1"/>
    <col min="7" max="7" width="12.7109375" style="856" customWidth="1"/>
    <col min="8" max="8" width="5.7109375" style="856" customWidth="1"/>
    <col min="9" max="11" width="12.7109375" style="856" customWidth="1"/>
    <col min="12" max="12" width="7" style="856" customWidth="1"/>
    <col min="13" max="14" width="6.140625" style="856" customWidth="1"/>
    <col min="15" max="15" width="6.85546875" style="856" bestFit="1" customWidth="1"/>
    <col min="16" max="17" width="5.5703125" style="856" customWidth="1"/>
    <col min="18" max="18" width="5.42578125" style="856" customWidth="1"/>
    <col min="19" max="19" width="4.85546875" style="856" customWidth="1"/>
    <col min="20" max="256" width="9.140625" style="856"/>
    <col min="257" max="257" width="4.140625" style="856" customWidth="1"/>
    <col min="258" max="258" width="33.42578125" style="856" customWidth="1"/>
    <col min="259" max="259" width="12.7109375" style="856" customWidth="1"/>
    <col min="260" max="260" width="5.7109375" style="856" customWidth="1"/>
    <col min="261" max="261" width="12.7109375" style="856" customWidth="1"/>
    <col min="262" max="262" width="5.7109375" style="856" customWidth="1"/>
    <col min="263" max="263" width="12.7109375" style="856" customWidth="1"/>
    <col min="264" max="264" width="5.7109375" style="856" customWidth="1"/>
    <col min="265" max="267" width="12.7109375" style="856" customWidth="1"/>
    <col min="268" max="269" width="5.7109375" style="856" customWidth="1"/>
    <col min="270" max="270" width="5.42578125" style="856" customWidth="1"/>
    <col min="271" max="273" width="5.5703125" style="856" customWidth="1"/>
    <col min="274" max="274" width="5.42578125" style="856" customWidth="1"/>
    <col min="275" max="275" width="4.85546875" style="856" customWidth="1"/>
    <col min="276" max="512" width="9.140625" style="856"/>
    <col min="513" max="513" width="4.140625" style="856" customWidth="1"/>
    <col min="514" max="514" width="33.42578125" style="856" customWidth="1"/>
    <col min="515" max="515" width="12.7109375" style="856" customWidth="1"/>
    <col min="516" max="516" width="5.7109375" style="856" customWidth="1"/>
    <col min="517" max="517" width="12.7109375" style="856" customWidth="1"/>
    <col min="518" max="518" width="5.7109375" style="856" customWidth="1"/>
    <col min="519" max="519" width="12.7109375" style="856" customWidth="1"/>
    <col min="520" max="520" width="5.7109375" style="856" customWidth="1"/>
    <col min="521" max="523" width="12.7109375" style="856" customWidth="1"/>
    <col min="524" max="525" width="5.7109375" style="856" customWidth="1"/>
    <col min="526" max="526" width="5.42578125" style="856" customWidth="1"/>
    <col min="527" max="529" width="5.5703125" style="856" customWidth="1"/>
    <col min="530" max="530" width="5.42578125" style="856" customWidth="1"/>
    <col min="531" max="531" width="4.85546875" style="856" customWidth="1"/>
    <col min="532" max="768" width="9.140625" style="856"/>
    <col min="769" max="769" width="4.140625" style="856" customWidth="1"/>
    <col min="770" max="770" width="33.42578125" style="856" customWidth="1"/>
    <col min="771" max="771" width="12.7109375" style="856" customWidth="1"/>
    <col min="772" max="772" width="5.7109375" style="856" customWidth="1"/>
    <col min="773" max="773" width="12.7109375" style="856" customWidth="1"/>
    <col min="774" max="774" width="5.7109375" style="856" customWidth="1"/>
    <col min="775" max="775" width="12.7109375" style="856" customWidth="1"/>
    <col min="776" max="776" width="5.7109375" style="856" customWidth="1"/>
    <col min="777" max="779" width="12.7109375" style="856" customWidth="1"/>
    <col min="780" max="781" width="5.7109375" style="856" customWidth="1"/>
    <col min="782" max="782" width="5.42578125" style="856" customWidth="1"/>
    <col min="783" max="785" width="5.5703125" style="856" customWidth="1"/>
    <col min="786" max="786" width="5.42578125" style="856" customWidth="1"/>
    <col min="787" max="787" width="4.85546875" style="856" customWidth="1"/>
    <col min="788" max="1024" width="9.140625" style="856"/>
    <col min="1025" max="1025" width="4.140625" style="856" customWidth="1"/>
    <col min="1026" max="1026" width="33.42578125" style="856" customWidth="1"/>
    <col min="1027" max="1027" width="12.7109375" style="856" customWidth="1"/>
    <col min="1028" max="1028" width="5.7109375" style="856" customWidth="1"/>
    <col min="1029" max="1029" width="12.7109375" style="856" customWidth="1"/>
    <col min="1030" max="1030" width="5.7109375" style="856" customWidth="1"/>
    <col min="1031" max="1031" width="12.7109375" style="856" customWidth="1"/>
    <col min="1032" max="1032" width="5.7109375" style="856" customWidth="1"/>
    <col min="1033" max="1035" width="12.7109375" style="856" customWidth="1"/>
    <col min="1036" max="1037" width="5.7109375" style="856" customWidth="1"/>
    <col min="1038" max="1038" width="5.42578125" style="856" customWidth="1"/>
    <col min="1039" max="1041" width="5.5703125" style="856" customWidth="1"/>
    <col min="1042" max="1042" width="5.42578125" style="856" customWidth="1"/>
    <col min="1043" max="1043" width="4.85546875" style="856" customWidth="1"/>
    <col min="1044" max="1280" width="9.140625" style="856"/>
    <col min="1281" max="1281" width="4.140625" style="856" customWidth="1"/>
    <col min="1282" max="1282" width="33.42578125" style="856" customWidth="1"/>
    <col min="1283" max="1283" width="12.7109375" style="856" customWidth="1"/>
    <col min="1284" max="1284" width="5.7109375" style="856" customWidth="1"/>
    <col min="1285" max="1285" width="12.7109375" style="856" customWidth="1"/>
    <col min="1286" max="1286" width="5.7109375" style="856" customWidth="1"/>
    <col min="1287" max="1287" width="12.7109375" style="856" customWidth="1"/>
    <col min="1288" max="1288" width="5.7109375" style="856" customWidth="1"/>
    <col min="1289" max="1291" width="12.7109375" style="856" customWidth="1"/>
    <col min="1292" max="1293" width="5.7109375" style="856" customWidth="1"/>
    <col min="1294" max="1294" width="5.42578125" style="856" customWidth="1"/>
    <col min="1295" max="1297" width="5.5703125" style="856" customWidth="1"/>
    <col min="1298" max="1298" width="5.42578125" style="856" customWidth="1"/>
    <col min="1299" max="1299" width="4.85546875" style="856" customWidth="1"/>
    <col min="1300" max="1536" width="9.140625" style="856"/>
    <col min="1537" max="1537" width="4.140625" style="856" customWidth="1"/>
    <col min="1538" max="1538" width="33.42578125" style="856" customWidth="1"/>
    <col min="1539" max="1539" width="12.7109375" style="856" customWidth="1"/>
    <col min="1540" max="1540" width="5.7109375" style="856" customWidth="1"/>
    <col min="1541" max="1541" width="12.7109375" style="856" customWidth="1"/>
    <col min="1542" max="1542" width="5.7109375" style="856" customWidth="1"/>
    <col min="1543" max="1543" width="12.7109375" style="856" customWidth="1"/>
    <col min="1544" max="1544" width="5.7109375" style="856" customWidth="1"/>
    <col min="1545" max="1547" width="12.7109375" style="856" customWidth="1"/>
    <col min="1548" max="1549" width="5.7109375" style="856" customWidth="1"/>
    <col min="1550" max="1550" width="5.42578125" style="856" customWidth="1"/>
    <col min="1551" max="1553" width="5.5703125" style="856" customWidth="1"/>
    <col min="1554" max="1554" width="5.42578125" style="856" customWidth="1"/>
    <col min="1555" max="1555" width="4.85546875" style="856" customWidth="1"/>
    <col min="1556" max="1792" width="9.140625" style="856"/>
    <col min="1793" max="1793" width="4.140625" style="856" customWidth="1"/>
    <col min="1794" max="1794" width="33.42578125" style="856" customWidth="1"/>
    <col min="1795" max="1795" width="12.7109375" style="856" customWidth="1"/>
    <col min="1796" max="1796" width="5.7109375" style="856" customWidth="1"/>
    <col min="1797" max="1797" width="12.7109375" style="856" customWidth="1"/>
    <col min="1798" max="1798" width="5.7109375" style="856" customWidth="1"/>
    <col min="1799" max="1799" width="12.7109375" style="856" customWidth="1"/>
    <col min="1800" max="1800" width="5.7109375" style="856" customWidth="1"/>
    <col min="1801" max="1803" width="12.7109375" style="856" customWidth="1"/>
    <col min="1804" max="1805" width="5.7109375" style="856" customWidth="1"/>
    <col min="1806" max="1806" width="5.42578125" style="856" customWidth="1"/>
    <col min="1807" max="1809" width="5.5703125" style="856" customWidth="1"/>
    <col min="1810" max="1810" width="5.42578125" style="856" customWidth="1"/>
    <col min="1811" max="1811" width="4.85546875" style="856" customWidth="1"/>
    <col min="1812" max="2048" width="9.140625" style="856"/>
    <col min="2049" max="2049" width="4.140625" style="856" customWidth="1"/>
    <col min="2050" max="2050" width="33.42578125" style="856" customWidth="1"/>
    <col min="2051" max="2051" width="12.7109375" style="856" customWidth="1"/>
    <col min="2052" max="2052" width="5.7109375" style="856" customWidth="1"/>
    <col min="2053" max="2053" width="12.7109375" style="856" customWidth="1"/>
    <col min="2054" max="2054" width="5.7109375" style="856" customWidth="1"/>
    <col min="2055" max="2055" width="12.7109375" style="856" customWidth="1"/>
    <col min="2056" max="2056" width="5.7109375" style="856" customWidth="1"/>
    <col min="2057" max="2059" width="12.7109375" style="856" customWidth="1"/>
    <col min="2060" max="2061" width="5.7109375" style="856" customWidth="1"/>
    <col min="2062" max="2062" width="5.42578125" style="856" customWidth="1"/>
    <col min="2063" max="2065" width="5.5703125" style="856" customWidth="1"/>
    <col min="2066" max="2066" width="5.42578125" style="856" customWidth="1"/>
    <col min="2067" max="2067" width="4.85546875" style="856" customWidth="1"/>
    <col min="2068" max="2304" width="9.140625" style="856"/>
    <col min="2305" max="2305" width="4.140625" style="856" customWidth="1"/>
    <col min="2306" max="2306" width="33.42578125" style="856" customWidth="1"/>
    <col min="2307" max="2307" width="12.7109375" style="856" customWidth="1"/>
    <col min="2308" max="2308" width="5.7109375" style="856" customWidth="1"/>
    <col min="2309" max="2309" width="12.7109375" style="856" customWidth="1"/>
    <col min="2310" max="2310" width="5.7109375" style="856" customWidth="1"/>
    <col min="2311" max="2311" width="12.7109375" style="856" customWidth="1"/>
    <col min="2312" max="2312" width="5.7109375" style="856" customWidth="1"/>
    <col min="2313" max="2315" width="12.7109375" style="856" customWidth="1"/>
    <col min="2316" max="2317" width="5.7109375" style="856" customWidth="1"/>
    <col min="2318" max="2318" width="5.42578125" style="856" customWidth="1"/>
    <col min="2319" max="2321" width="5.5703125" style="856" customWidth="1"/>
    <col min="2322" max="2322" width="5.42578125" style="856" customWidth="1"/>
    <col min="2323" max="2323" width="4.85546875" style="856" customWidth="1"/>
    <col min="2324" max="2560" width="9.140625" style="856"/>
    <col min="2561" max="2561" width="4.140625" style="856" customWidth="1"/>
    <col min="2562" max="2562" width="33.42578125" style="856" customWidth="1"/>
    <col min="2563" max="2563" width="12.7109375" style="856" customWidth="1"/>
    <col min="2564" max="2564" width="5.7109375" style="856" customWidth="1"/>
    <col min="2565" max="2565" width="12.7109375" style="856" customWidth="1"/>
    <col min="2566" max="2566" width="5.7109375" style="856" customWidth="1"/>
    <col min="2567" max="2567" width="12.7109375" style="856" customWidth="1"/>
    <col min="2568" max="2568" width="5.7109375" style="856" customWidth="1"/>
    <col min="2569" max="2571" width="12.7109375" style="856" customWidth="1"/>
    <col min="2572" max="2573" width="5.7109375" style="856" customWidth="1"/>
    <col min="2574" max="2574" width="5.42578125" style="856" customWidth="1"/>
    <col min="2575" max="2577" width="5.5703125" style="856" customWidth="1"/>
    <col min="2578" max="2578" width="5.42578125" style="856" customWidth="1"/>
    <col min="2579" max="2579" width="4.85546875" style="856" customWidth="1"/>
    <col min="2580" max="2816" width="9.140625" style="856"/>
    <col min="2817" max="2817" width="4.140625" style="856" customWidth="1"/>
    <col min="2818" max="2818" width="33.42578125" style="856" customWidth="1"/>
    <col min="2819" max="2819" width="12.7109375" style="856" customWidth="1"/>
    <col min="2820" max="2820" width="5.7109375" style="856" customWidth="1"/>
    <col min="2821" max="2821" width="12.7109375" style="856" customWidth="1"/>
    <col min="2822" max="2822" width="5.7109375" style="856" customWidth="1"/>
    <col min="2823" max="2823" width="12.7109375" style="856" customWidth="1"/>
    <col min="2824" max="2824" width="5.7109375" style="856" customWidth="1"/>
    <col min="2825" max="2827" width="12.7109375" style="856" customWidth="1"/>
    <col min="2828" max="2829" width="5.7109375" style="856" customWidth="1"/>
    <col min="2830" max="2830" width="5.42578125" style="856" customWidth="1"/>
    <col min="2831" max="2833" width="5.5703125" style="856" customWidth="1"/>
    <col min="2834" max="2834" width="5.42578125" style="856" customWidth="1"/>
    <col min="2835" max="2835" width="4.85546875" style="856" customWidth="1"/>
    <col min="2836" max="3072" width="9.140625" style="856"/>
    <col min="3073" max="3073" width="4.140625" style="856" customWidth="1"/>
    <col min="3074" max="3074" width="33.42578125" style="856" customWidth="1"/>
    <col min="3075" max="3075" width="12.7109375" style="856" customWidth="1"/>
    <col min="3076" max="3076" width="5.7109375" style="856" customWidth="1"/>
    <col min="3077" max="3077" width="12.7109375" style="856" customWidth="1"/>
    <col min="3078" max="3078" width="5.7109375" style="856" customWidth="1"/>
    <col min="3079" max="3079" width="12.7109375" style="856" customWidth="1"/>
    <col min="3080" max="3080" width="5.7109375" style="856" customWidth="1"/>
    <col min="3081" max="3083" width="12.7109375" style="856" customWidth="1"/>
    <col min="3084" max="3085" width="5.7109375" style="856" customWidth="1"/>
    <col min="3086" max="3086" width="5.42578125" style="856" customWidth="1"/>
    <col min="3087" max="3089" width="5.5703125" style="856" customWidth="1"/>
    <col min="3090" max="3090" width="5.42578125" style="856" customWidth="1"/>
    <col min="3091" max="3091" width="4.85546875" style="856" customWidth="1"/>
    <col min="3092" max="3328" width="9.140625" style="856"/>
    <col min="3329" max="3329" width="4.140625" style="856" customWidth="1"/>
    <col min="3330" max="3330" width="33.42578125" style="856" customWidth="1"/>
    <col min="3331" max="3331" width="12.7109375" style="856" customWidth="1"/>
    <col min="3332" max="3332" width="5.7109375" style="856" customWidth="1"/>
    <col min="3333" max="3333" width="12.7109375" style="856" customWidth="1"/>
    <col min="3334" max="3334" width="5.7109375" style="856" customWidth="1"/>
    <col min="3335" max="3335" width="12.7109375" style="856" customWidth="1"/>
    <col min="3336" max="3336" width="5.7109375" style="856" customWidth="1"/>
    <col min="3337" max="3339" width="12.7109375" style="856" customWidth="1"/>
    <col min="3340" max="3341" width="5.7109375" style="856" customWidth="1"/>
    <col min="3342" max="3342" width="5.42578125" style="856" customWidth="1"/>
    <col min="3343" max="3345" width="5.5703125" style="856" customWidth="1"/>
    <col min="3346" max="3346" width="5.42578125" style="856" customWidth="1"/>
    <col min="3347" max="3347" width="4.85546875" style="856" customWidth="1"/>
    <col min="3348" max="3584" width="9.140625" style="856"/>
    <col min="3585" max="3585" width="4.140625" style="856" customWidth="1"/>
    <col min="3586" max="3586" width="33.42578125" style="856" customWidth="1"/>
    <col min="3587" max="3587" width="12.7109375" style="856" customWidth="1"/>
    <col min="3588" max="3588" width="5.7109375" style="856" customWidth="1"/>
    <col min="3589" max="3589" width="12.7109375" style="856" customWidth="1"/>
    <col min="3590" max="3590" width="5.7109375" style="856" customWidth="1"/>
    <col min="3591" max="3591" width="12.7109375" style="856" customWidth="1"/>
    <col min="3592" max="3592" width="5.7109375" style="856" customWidth="1"/>
    <col min="3593" max="3595" width="12.7109375" style="856" customWidth="1"/>
    <col min="3596" max="3597" width="5.7109375" style="856" customWidth="1"/>
    <col min="3598" max="3598" width="5.42578125" style="856" customWidth="1"/>
    <col min="3599" max="3601" width="5.5703125" style="856" customWidth="1"/>
    <col min="3602" max="3602" width="5.42578125" style="856" customWidth="1"/>
    <col min="3603" max="3603" width="4.85546875" style="856" customWidth="1"/>
    <col min="3604" max="3840" width="9.140625" style="856"/>
    <col min="3841" max="3841" width="4.140625" style="856" customWidth="1"/>
    <col min="3842" max="3842" width="33.42578125" style="856" customWidth="1"/>
    <col min="3843" max="3843" width="12.7109375" style="856" customWidth="1"/>
    <col min="3844" max="3844" width="5.7109375" style="856" customWidth="1"/>
    <col min="3845" max="3845" width="12.7109375" style="856" customWidth="1"/>
    <col min="3846" max="3846" width="5.7109375" style="856" customWidth="1"/>
    <col min="3847" max="3847" width="12.7109375" style="856" customWidth="1"/>
    <col min="3848" max="3848" width="5.7109375" style="856" customWidth="1"/>
    <col min="3849" max="3851" width="12.7109375" style="856" customWidth="1"/>
    <col min="3852" max="3853" width="5.7109375" style="856" customWidth="1"/>
    <col min="3854" max="3854" width="5.42578125" style="856" customWidth="1"/>
    <col min="3855" max="3857" width="5.5703125" style="856" customWidth="1"/>
    <col min="3858" max="3858" width="5.42578125" style="856" customWidth="1"/>
    <col min="3859" max="3859" width="4.85546875" style="856" customWidth="1"/>
    <col min="3860" max="4096" width="9.140625" style="856"/>
    <col min="4097" max="4097" width="4.140625" style="856" customWidth="1"/>
    <col min="4098" max="4098" width="33.42578125" style="856" customWidth="1"/>
    <col min="4099" max="4099" width="12.7109375" style="856" customWidth="1"/>
    <col min="4100" max="4100" width="5.7109375" style="856" customWidth="1"/>
    <col min="4101" max="4101" width="12.7109375" style="856" customWidth="1"/>
    <col min="4102" max="4102" width="5.7109375" style="856" customWidth="1"/>
    <col min="4103" max="4103" width="12.7109375" style="856" customWidth="1"/>
    <col min="4104" max="4104" width="5.7109375" style="856" customWidth="1"/>
    <col min="4105" max="4107" width="12.7109375" style="856" customWidth="1"/>
    <col min="4108" max="4109" width="5.7109375" style="856" customWidth="1"/>
    <col min="4110" max="4110" width="5.42578125" style="856" customWidth="1"/>
    <col min="4111" max="4113" width="5.5703125" style="856" customWidth="1"/>
    <col min="4114" max="4114" width="5.42578125" style="856" customWidth="1"/>
    <col min="4115" max="4115" width="4.85546875" style="856" customWidth="1"/>
    <col min="4116" max="4352" width="9.140625" style="856"/>
    <col min="4353" max="4353" width="4.140625" style="856" customWidth="1"/>
    <col min="4354" max="4354" width="33.42578125" style="856" customWidth="1"/>
    <col min="4355" max="4355" width="12.7109375" style="856" customWidth="1"/>
    <col min="4356" max="4356" width="5.7109375" style="856" customWidth="1"/>
    <col min="4357" max="4357" width="12.7109375" style="856" customWidth="1"/>
    <col min="4358" max="4358" width="5.7109375" style="856" customWidth="1"/>
    <col min="4359" max="4359" width="12.7109375" style="856" customWidth="1"/>
    <col min="4360" max="4360" width="5.7109375" style="856" customWidth="1"/>
    <col min="4361" max="4363" width="12.7109375" style="856" customWidth="1"/>
    <col min="4364" max="4365" width="5.7109375" style="856" customWidth="1"/>
    <col min="4366" max="4366" width="5.42578125" style="856" customWidth="1"/>
    <col min="4367" max="4369" width="5.5703125" style="856" customWidth="1"/>
    <col min="4370" max="4370" width="5.42578125" style="856" customWidth="1"/>
    <col min="4371" max="4371" width="4.85546875" style="856" customWidth="1"/>
    <col min="4372" max="4608" width="9.140625" style="856"/>
    <col min="4609" max="4609" width="4.140625" style="856" customWidth="1"/>
    <col min="4610" max="4610" width="33.42578125" style="856" customWidth="1"/>
    <col min="4611" max="4611" width="12.7109375" style="856" customWidth="1"/>
    <col min="4612" max="4612" width="5.7109375" style="856" customWidth="1"/>
    <col min="4613" max="4613" width="12.7109375" style="856" customWidth="1"/>
    <col min="4614" max="4614" width="5.7109375" style="856" customWidth="1"/>
    <col min="4615" max="4615" width="12.7109375" style="856" customWidth="1"/>
    <col min="4616" max="4616" width="5.7109375" style="856" customWidth="1"/>
    <col min="4617" max="4619" width="12.7109375" style="856" customWidth="1"/>
    <col min="4620" max="4621" width="5.7109375" style="856" customWidth="1"/>
    <col min="4622" max="4622" width="5.42578125" style="856" customWidth="1"/>
    <col min="4623" max="4625" width="5.5703125" style="856" customWidth="1"/>
    <col min="4626" max="4626" width="5.42578125" style="856" customWidth="1"/>
    <col min="4627" max="4627" width="4.85546875" style="856" customWidth="1"/>
    <col min="4628" max="4864" width="9.140625" style="856"/>
    <col min="4865" max="4865" width="4.140625" style="856" customWidth="1"/>
    <col min="4866" max="4866" width="33.42578125" style="856" customWidth="1"/>
    <col min="4867" max="4867" width="12.7109375" style="856" customWidth="1"/>
    <col min="4868" max="4868" width="5.7109375" style="856" customWidth="1"/>
    <col min="4869" max="4869" width="12.7109375" style="856" customWidth="1"/>
    <col min="4870" max="4870" width="5.7109375" style="856" customWidth="1"/>
    <col min="4871" max="4871" width="12.7109375" style="856" customWidth="1"/>
    <col min="4872" max="4872" width="5.7109375" style="856" customWidth="1"/>
    <col min="4873" max="4875" width="12.7109375" style="856" customWidth="1"/>
    <col min="4876" max="4877" width="5.7109375" style="856" customWidth="1"/>
    <col min="4878" max="4878" width="5.42578125" style="856" customWidth="1"/>
    <col min="4879" max="4881" width="5.5703125" style="856" customWidth="1"/>
    <col min="4882" max="4882" width="5.42578125" style="856" customWidth="1"/>
    <col min="4883" max="4883" width="4.85546875" style="856" customWidth="1"/>
    <col min="4884" max="5120" width="9.140625" style="856"/>
    <col min="5121" max="5121" width="4.140625" style="856" customWidth="1"/>
    <col min="5122" max="5122" width="33.42578125" style="856" customWidth="1"/>
    <col min="5123" max="5123" width="12.7109375" style="856" customWidth="1"/>
    <col min="5124" max="5124" width="5.7109375" style="856" customWidth="1"/>
    <col min="5125" max="5125" width="12.7109375" style="856" customWidth="1"/>
    <col min="5126" max="5126" width="5.7109375" style="856" customWidth="1"/>
    <col min="5127" max="5127" width="12.7109375" style="856" customWidth="1"/>
    <col min="5128" max="5128" width="5.7109375" style="856" customWidth="1"/>
    <col min="5129" max="5131" width="12.7109375" style="856" customWidth="1"/>
    <col min="5132" max="5133" width="5.7109375" style="856" customWidth="1"/>
    <col min="5134" max="5134" width="5.42578125" style="856" customWidth="1"/>
    <col min="5135" max="5137" width="5.5703125" style="856" customWidth="1"/>
    <col min="5138" max="5138" width="5.42578125" style="856" customWidth="1"/>
    <col min="5139" max="5139" width="4.85546875" style="856" customWidth="1"/>
    <col min="5140" max="5376" width="9.140625" style="856"/>
    <col min="5377" max="5377" width="4.140625" style="856" customWidth="1"/>
    <col min="5378" max="5378" width="33.42578125" style="856" customWidth="1"/>
    <col min="5379" max="5379" width="12.7109375" style="856" customWidth="1"/>
    <col min="5380" max="5380" width="5.7109375" style="856" customWidth="1"/>
    <col min="5381" max="5381" width="12.7109375" style="856" customWidth="1"/>
    <col min="5382" max="5382" width="5.7109375" style="856" customWidth="1"/>
    <col min="5383" max="5383" width="12.7109375" style="856" customWidth="1"/>
    <col min="5384" max="5384" width="5.7109375" style="856" customWidth="1"/>
    <col min="5385" max="5387" width="12.7109375" style="856" customWidth="1"/>
    <col min="5388" max="5389" width="5.7109375" style="856" customWidth="1"/>
    <col min="5390" max="5390" width="5.42578125" style="856" customWidth="1"/>
    <col min="5391" max="5393" width="5.5703125" style="856" customWidth="1"/>
    <col min="5394" max="5394" width="5.42578125" style="856" customWidth="1"/>
    <col min="5395" max="5395" width="4.85546875" style="856" customWidth="1"/>
    <col min="5396" max="5632" width="9.140625" style="856"/>
    <col min="5633" max="5633" width="4.140625" style="856" customWidth="1"/>
    <col min="5634" max="5634" width="33.42578125" style="856" customWidth="1"/>
    <col min="5635" max="5635" width="12.7109375" style="856" customWidth="1"/>
    <col min="5636" max="5636" width="5.7109375" style="856" customWidth="1"/>
    <col min="5637" max="5637" width="12.7109375" style="856" customWidth="1"/>
    <col min="5638" max="5638" width="5.7109375" style="856" customWidth="1"/>
    <col min="5639" max="5639" width="12.7109375" style="856" customWidth="1"/>
    <col min="5640" max="5640" width="5.7109375" style="856" customWidth="1"/>
    <col min="5641" max="5643" width="12.7109375" style="856" customWidth="1"/>
    <col min="5644" max="5645" width="5.7109375" style="856" customWidth="1"/>
    <col min="5646" max="5646" width="5.42578125" style="856" customWidth="1"/>
    <col min="5647" max="5649" width="5.5703125" style="856" customWidth="1"/>
    <col min="5650" max="5650" width="5.42578125" style="856" customWidth="1"/>
    <col min="5651" max="5651" width="4.85546875" style="856" customWidth="1"/>
    <col min="5652" max="5888" width="9.140625" style="856"/>
    <col min="5889" max="5889" width="4.140625" style="856" customWidth="1"/>
    <col min="5890" max="5890" width="33.42578125" style="856" customWidth="1"/>
    <col min="5891" max="5891" width="12.7109375" style="856" customWidth="1"/>
    <col min="5892" max="5892" width="5.7109375" style="856" customWidth="1"/>
    <col min="5893" max="5893" width="12.7109375" style="856" customWidth="1"/>
    <col min="5894" max="5894" width="5.7109375" style="856" customWidth="1"/>
    <col min="5895" max="5895" width="12.7109375" style="856" customWidth="1"/>
    <col min="5896" max="5896" width="5.7109375" style="856" customWidth="1"/>
    <col min="5897" max="5899" width="12.7109375" style="856" customWidth="1"/>
    <col min="5900" max="5901" width="5.7109375" style="856" customWidth="1"/>
    <col min="5902" max="5902" width="5.42578125" style="856" customWidth="1"/>
    <col min="5903" max="5905" width="5.5703125" style="856" customWidth="1"/>
    <col min="5906" max="5906" width="5.42578125" style="856" customWidth="1"/>
    <col min="5907" max="5907" width="4.85546875" style="856" customWidth="1"/>
    <col min="5908" max="6144" width="9.140625" style="856"/>
    <col min="6145" max="6145" width="4.140625" style="856" customWidth="1"/>
    <col min="6146" max="6146" width="33.42578125" style="856" customWidth="1"/>
    <col min="6147" max="6147" width="12.7109375" style="856" customWidth="1"/>
    <col min="6148" max="6148" width="5.7109375" style="856" customWidth="1"/>
    <col min="6149" max="6149" width="12.7109375" style="856" customWidth="1"/>
    <col min="6150" max="6150" width="5.7109375" style="856" customWidth="1"/>
    <col min="6151" max="6151" width="12.7109375" style="856" customWidth="1"/>
    <col min="6152" max="6152" width="5.7109375" style="856" customWidth="1"/>
    <col min="6153" max="6155" width="12.7109375" style="856" customWidth="1"/>
    <col min="6156" max="6157" width="5.7109375" style="856" customWidth="1"/>
    <col min="6158" max="6158" width="5.42578125" style="856" customWidth="1"/>
    <col min="6159" max="6161" width="5.5703125" style="856" customWidth="1"/>
    <col min="6162" max="6162" width="5.42578125" style="856" customWidth="1"/>
    <col min="6163" max="6163" width="4.85546875" style="856" customWidth="1"/>
    <col min="6164" max="6400" width="9.140625" style="856"/>
    <col min="6401" max="6401" width="4.140625" style="856" customWidth="1"/>
    <col min="6402" max="6402" width="33.42578125" style="856" customWidth="1"/>
    <col min="6403" max="6403" width="12.7109375" style="856" customWidth="1"/>
    <col min="6404" max="6404" width="5.7109375" style="856" customWidth="1"/>
    <col min="6405" max="6405" width="12.7109375" style="856" customWidth="1"/>
    <col min="6406" max="6406" width="5.7109375" style="856" customWidth="1"/>
    <col min="6407" max="6407" width="12.7109375" style="856" customWidth="1"/>
    <col min="6408" max="6408" width="5.7109375" style="856" customWidth="1"/>
    <col min="6409" max="6411" width="12.7109375" style="856" customWidth="1"/>
    <col min="6412" max="6413" width="5.7109375" style="856" customWidth="1"/>
    <col min="6414" max="6414" width="5.42578125" style="856" customWidth="1"/>
    <col min="6415" max="6417" width="5.5703125" style="856" customWidth="1"/>
    <col min="6418" max="6418" width="5.42578125" style="856" customWidth="1"/>
    <col min="6419" max="6419" width="4.85546875" style="856" customWidth="1"/>
    <col min="6420" max="6656" width="9.140625" style="856"/>
    <col min="6657" max="6657" width="4.140625" style="856" customWidth="1"/>
    <col min="6658" max="6658" width="33.42578125" style="856" customWidth="1"/>
    <col min="6659" max="6659" width="12.7109375" style="856" customWidth="1"/>
    <col min="6660" max="6660" width="5.7109375" style="856" customWidth="1"/>
    <col min="6661" max="6661" width="12.7109375" style="856" customWidth="1"/>
    <col min="6662" max="6662" width="5.7109375" style="856" customWidth="1"/>
    <col min="6663" max="6663" width="12.7109375" style="856" customWidth="1"/>
    <col min="6664" max="6664" width="5.7109375" style="856" customWidth="1"/>
    <col min="6665" max="6667" width="12.7109375" style="856" customWidth="1"/>
    <col min="6668" max="6669" width="5.7109375" style="856" customWidth="1"/>
    <col min="6670" max="6670" width="5.42578125" style="856" customWidth="1"/>
    <col min="6671" max="6673" width="5.5703125" style="856" customWidth="1"/>
    <col min="6674" max="6674" width="5.42578125" style="856" customWidth="1"/>
    <col min="6675" max="6675" width="4.85546875" style="856" customWidth="1"/>
    <col min="6676" max="6912" width="9.140625" style="856"/>
    <col min="6913" max="6913" width="4.140625" style="856" customWidth="1"/>
    <col min="6914" max="6914" width="33.42578125" style="856" customWidth="1"/>
    <col min="6915" max="6915" width="12.7109375" style="856" customWidth="1"/>
    <col min="6916" max="6916" width="5.7109375" style="856" customWidth="1"/>
    <col min="6917" max="6917" width="12.7109375" style="856" customWidth="1"/>
    <col min="6918" max="6918" width="5.7109375" style="856" customWidth="1"/>
    <col min="6919" max="6919" width="12.7109375" style="856" customWidth="1"/>
    <col min="6920" max="6920" width="5.7109375" style="856" customWidth="1"/>
    <col min="6921" max="6923" width="12.7109375" style="856" customWidth="1"/>
    <col min="6924" max="6925" width="5.7109375" style="856" customWidth="1"/>
    <col min="6926" max="6926" width="5.42578125" style="856" customWidth="1"/>
    <col min="6927" max="6929" width="5.5703125" style="856" customWidth="1"/>
    <col min="6930" max="6930" width="5.42578125" style="856" customWidth="1"/>
    <col min="6931" max="6931" width="4.85546875" style="856" customWidth="1"/>
    <col min="6932" max="7168" width="9.140625" style="856"/>
    <col min="7169" max="7169" width="4.140625" style="856" customWidth="1"/>
    <col min="7170" max="7170" width="33.42578125" style="856" customWidth="1"/>
    <col min="7171" max="7171" width="12.7109375" style="856" customWidth="1"/>
    <col min="7172" max="7172" width="5.7109375" style="856" customWidth="1"/>
    <col min="7173" max="7173" width="12.7109375" style="856" customWidth="1"/>
    <col min="7174" max="7174" width="5.7109375" style="856" customWidth="1"/>
    <col min="7175" max="7175" width="12.7109375" style="856" customWidth="1"/>
    <col min="7176" max="7176" width="5.7109375" style="856" customWidth="1"/>
    <col min="7177" max="7179" width="12.7109375" style="856" customWidth="1"/>
    <col min="7180" max="7181" width="5.7109375" style="856" customWidth="1"/>
    <col min="7182" max="7182" width="5.42578125" style="856" customWidth="1"/>
    <col min="7183" max="7185" width="5.5703125" style="856" customWidth="1"/>
    <col min="7186" max="7186" width="5.42578125" style="856" customWidth="1"/>
    <col min="7187" max="7187" width="4.85546875" style="856" customWidth="1"/>
    <col min="7188" max="7424" width="9.140625" style="856"/>
    <col min="7425" max="7425" width="4.140625" style="856" customWidth="1"/>
    <col min="7426" max="7426" width="33.42578125" style="856" customWidth="1"/>
    <col min="7427" max="7427" width="12.7109375" style="856" customWidth="1"/>
    <col min="7428" max="7428" width="5.7109375" style="856" customWidth="1"/>
    <col min="7429" max="7429" width="12.7109375" style="856" customWidth="1"/>
    <col min="7430" max="7430" width="5.7109375" style="856" customWidth="1"/>
    <col min="7431" max="7431" width="12.7109375" style="856" customWidth="1"/>
    <col min="7432" max="7432" width="5.7109375" style="856" customWidth="1"/>
    <col min="7433" max="7435" width="12.7109375" style="856" customWidth="1"/>
    <col min="7436" max="7437" width="5.7109375" style="856" customWidth="1"/>
    <col min="7438" max="7438" width="5.42578125" style="856" customWidth="1"/>
    <col min="7439" max="7441" width="5.5703125" style="856" customWidth="1"/>
    <col min="7442" max="7442" width="5.42578125" style="856" customWidth="1"/>
    <col min="7443" max="7443" width="4.85546875" style="856" customWidth="1"/>
    <col min="7444" max="7680" width="9.140625" style="856"/>
    <col min="7681" max="7681" width="4.140625" style="856" customWidth="1"/>
    <col min="7682" max="7682" width="33.42578125" style="856" customWidth="1"/>
    <col min="7683" max="7683" width="12.7109375" style="856" customWidth="1"/>
    <col min="7684" max="7684" width="5.7109375" style="856" customWidth="1"/>
    <col min="7685" max="7685" width="12.7109375" style="856" customWidth="1"/>
    <col min="7686" max="7686" width="5.7109375" style="856" customWidth="1"/>
    <col min="7687" max="7687" width="12.7109375" style="856" customWidth="1"/>
    <col min="7688" max="7688" width="5.7109375" style="856" customWidth="1"/>
    <col min="7689" max="7691" width="12.7109375" style="856" customWidth="1"/>
    <col min="7692" max="7693" width="5.7109375" style="856" customWidth="1"/>
    <col min="7694" max="7694" width="5.42578125" style="856" customWidth="1"/>
    <col min="7695" max="7697" width="5.5703125" style="856" customWidth="1"/>
    <col min="7698" max="7698" width="5.42578125" style="856" customWidth="1"/>
    <col min="7699" max="7699" width="4.85546875" style="856" customWidth="1"/>
    <col min="7700" max="7936" width="9.140625" style="856"/>
    <col min="7937" max="7937" width="4.140625" style="856" customWidth="1"/>
    <col min="7938" max="7938" width="33.42578125" style="856" customWidth="1"/>
    <col min="7939" max="7939" width="12.7109375" style="856" customWidth="1"/>
    <col min="7940" max="7940" width="5.7109375" style="856" customWidth="1"/>
    <col min="7941" max="7941" width="12.7109375" style="856" customWidth="1"/>
    <col min="7942" max="7942" width="5.7109375" style="856" customWidth="1"/>
    <col min="7943" max="7943" width="12.7109375" style="856" customWidth="1"/>
    <col min="7944" max="7944" width="5.7109375" style="856" customWidth="1"/>
    <col min="7945" max="7947" width="12.7109375" style="856" customWidth="1"/>
    <col min="7948" max="7949" width="5.7109375" style="856" customWidth="1"/>
    <col min="7950" max="7950" width="5.42578125" style="856" customWidth="1"/>
    <col min="7951" max="7953" width="5.5703125" style="856" customWidth="1"/>
    <col min="7954" max="7954" width="5.42578125" style="856" customWidth="1"/>
    <col min="7955" max="7955" width="4.85546875" style="856" customWidth="1"/>
    <col min="7956" max="8192" width="9.140625" style="856"/>
    <col min="8193" max="8193" width="4.140625" style="856" customWidth="1"/>
    <col min="8194" max="8194" width="33.42578125" style="856" customWidth="1"/>
    <col min="8195" max="8195" width="12.7109375" style="856" customWidth="1"/>
    <col min="8196" max="8196" width="5.7109375" style="856" customWidth="1"/>
    <col min="8197" max="8197" width="12.7109375" style="856" customWidth="1"/>
    <col min="8198" max="8198" width="5.7109375" style="856" customWidth="1"/>
    <col min="8199" max="8199" width="12.7109375" style="856" customWidth="1"/>
    <col min="8200" max="8200" width="5.7109375" style="856" customWidth="1"/>
    <col min="8201" max="8203" width="12.7109375" style="856" customWidth="1"/>
    <col min="8204" max="8205" width="5.7109375" style="856" customWidth="1"/>
    <col min="8206" max="8206" width="5.42578125" style="856" customWidth="1"/>
    <col min="8207" max="8209" width="5.5703125" style="856" customWidth="1"/>
    <col min="8210" max="8210" width="5.42578125" style="856" customWidth="1"/>
    <col min="8211" max="8211" width="4.85546875" style="856" customWidth="1"/>
    <col min="8212" max="8448" width="9.140625" style="856"/>
    <col min="8449" max="8449" width="4.140625" style="856" customWidth="1"/>
    <col min="8450" max="8450" width="33.42578125" style="856" customWidth="1"/>
    <col min="8451" max="8451" width="12.7109375" style="856" customWidth="1"/>
    <col min="8452" max="8452" width="5.7109375" style="856" customWidth="1"/>
    <col min="8453" max="8453" width="12.7109375" style="856" customWidth="1"/>
    <col min="8454" max="8454" width="5.7109375" style="856" customWidth="1"/>
    <col min="8455" max="8455" width="12.7109375" style="856" customWidth="1"/>
    <col min="8456" max="8456" width="5.7109375" style="856" customWidth="1"/>
    <col min="8457" max="8459" width="12.7109375" style="856" customWidth="1"/>
    <col min="8460" max="8461" width="5.7109375" style="856" customWidth="1"/>
    <col min="8462" max="8462" width="5.42578125" style="856" customWidth="1"/>
    <col min="8463" max="8465" width="5.5703125" style="856" customWidth="1"/>
    <col min="8466" max="8466" width="5.42578125" style="856" customWidth="1"/>
    <col min="8467" max="8467" width="4.85546875" style="856" customWidth="1"/>
    <col min="8468" max="8704" width="9.140625" style="856"/>
    <col min="8705" max="8705" width="4.140625" style="856" customWidth="1"/>
    <col min="8706" max="8706" width="33.42578125" style="856" customWidth="1"/>
    <col min="8707" max="8707" width="12.7109375" style="856" customWidth="1"/>
    <col min="8708" max="8708" width="5.7109375" style="856" customWidth="1"/>
    <col min="8709" max="8709" width="12.7109375" style="856" customWidth="1"/>
    <col min="8710" max="8710" width="5.7109375" style="856" customWidth="1"/>
    <col min="8711" max="8711" width="12.7109375" style="856" customWidth="1"/>
    <col min="8712" max="8712" width="5.7109375" style="856" customWidth="1"/>
    <col min="8713" max="8715" width="12.7109375" style="856" customWidth="1"/>
    <col min="8716" max="8717" width="5.7109375" style="856" customWidth="1"/>
    <col min="8718" max="8718" width="5.42578125" style="856" customWidth="1"/>
    <col min="8719" max="8721" width="5.5703125" style="856" customWidth="1"/>
    <col min="8722" max="8722" width="5.42578125" style="856" customWidth="1"/>
    <col min="8723" max="8723" width="4.85546875" style="856" customWidth="1"/>
    <col min="8724" max="8960" width="9.140625" style="856"/>
    <col min="8961" max="8961" width="4.140625" style="856" customWidth="1"/>
    <col min="8962" max="8962" width="33.42578125" style="856" customWidth="1"/>
    <col min="8963" max="8963" width="12.7109375" style="856" customWidth="1"/>
    <col min="8964" max="8964" width="5.7109375" style="856" customWidth="1"/>
    <col min="8965" max="8965" width="12.7109375" style="856" customWidth="1"/>
    <col min="8966" max="8966" width="5.7109375" style="856" customWidth="1"/>
    <col min="8967" max="8967" width="12.7109375" style="856" customWidth="1"/>
    <col min="8968" max="8968" width="5.7109375" style="856" customWidth="1"/>
    <col min="8969" max="8971" width="12.7109375" style="856" customWidth="1"/>
    <col min="8972" max="8973" width="5.7109375" style="856" customWidth="1"/>
    <col min="8974" max="8974" width="5.42578125" style="856" customWidth="1"/>
    <col min="8975" max="8977" width="5.5703125" style="856" customWidth="1"/>
    <col min="8978" max="8978" width="5.42578125" style="856" customWidth="1"/>
    <col min="8979" max="8979" width="4.85546875" style="856" customWidth="1"/>
    <col min="8980" max="9216" width="9.140625" style="856"/>
    <col min="9217" max="9217" width="4.140625" style="856" customWidth="1"/>
    <col min="9218" max="9218" width="33.42578125" style="856" customWidth="1"/>
    <col min="9219" max="9219" width="12.7109375" style="856" customWidth="1"/>
    <col min="9220" max="9220" width="5.7109375" style="856" customWidth="1"/>
    <col min="9221" max="9221" width="12.7109375" style="856" customWidth="1"/>
    <col min="9222" max="9222" width="5.7109375" style="856" customWidth="1"/>
    <col min="9223" max="9223" width="12.7109375" style="856" customWidth="1"/>
    <col min="9224" max="9224" width="5.7109375" style="856" customWidth="1"/>
    <col min="9225" max="9227" width="12.7109375" style="856" customWidth="1"/>
    <col min="9228" max="9229" width="5.7109375" style="856" customWidth="1"/>
    <col min="9230" max="9230" width="5.42578125" style="856" customWidth="1"/>
    <col min="9231" max="9233" width="5.5703125" style="856" customWidth="1"/>
    <col min="9234" max="9234" width="5.42578125" style="856" customWidth="1"/>
    <col min="9235" max="9235" width="4.85546875" style="856" customWidth="1"/>
    <col min="9236" max="9472" width="9.140625" style="856"/>
    <col min="9473" max="9473" width="4.140625" style="856" customWidth="1"/>
    <col min="9474" max="9474" width="33.42578125" style="856" customWidth="1"/>
    <col min="9475" max="9475" width="12.7109375" style="856" customWidth="1"/>
    <col min="9476" max="9476" width="5.7109375" style="856" customWidth="1"/>
    <col min="9477" max="9477" width="12.7109375" style="856" customWidth="1"/>
    <col min="9478" max="9478" width="5.7109375" style="856" customWidth="1"/>
    <col min="9479" max="9479" width="12.7109375" style="856" customWidth="1"/>
    <col min="9480" max="9480" width="5.7109375" style="856" customWidth="1"/>
    <col min="9481" max="9483" width="12.7109375" style="856" customWidth="1"/>
    <col min="9484" max="9485" width="5.7109375" style="856" customWidth="1"/>
    <col min="9486" max="9486" width="5.42578125" style="856" customWidth="1"/>
    <col min="9487" max="9489" width="5.5703125" style="856" customWidth="1"/>
    <col min="9490" max="9490" width="5.42578125" style="856" customWidth="1"/>
    <col min="9491" max="9491" width="4.85546875" style="856" customWidth="1"/>
    <col min="9492" max="9728" width="9.140625" style="856"/>
    <col min="9729" max="9729" width="4.140625" style="856" customWidth="1"/>
    <col min="9730" max="9730" width="33.42578125" style="856" customWidth="1"/>
    <col min="9731" max="9731" width="12.7109375" style="856" customWidth="1"/>
    <col min="9732" max="9732" width="5.7109375" style="856" customWidth="1"/>
    <col min="9733" max="9733" width="12.7109375" style="856" customWidth="1"/>
    <col min="9734" max="9734" width="5.7109375" style="856" customWidth="1"/>
    <col min="9735" max="9735" width="12.7109375" style="856" customWidth="1"/>
    <col min="9736" max="9736" width="5.7109375" style="856" customWidth="1"/>
    <col min="9737" max="9739" width="12.7109375" style="856" customWidth="1"/>
    <col min="9740" max="9741" width="5.7109375" style="856" customWidth="1"/>
    <col min="9742" max="9742" width="5.42578125" style="856" customWidth="1"/>
    <col min="9743" max="9745" width="5.5703125" style="856" customWidth="1"/>
    <col min="9746" max="9746" width="5.42578125" style="856" customWidth="1"/>
    <col min="9747" max="9747" width="4.85546875" style="856" customWidth="1"/>
    <col min="9748" max="9984" width="9.140625" style="856"/>
    <col min="9985" max="9985" width="4.140625" style="856" customWidth="1"/>
    <col min="9986" max="9986" width="33.42578125" style="856" customWidth="1"/>
    <col min="9987" max="9987" width="12.7109375" style="856" customWidth="1"/>
    <col min="9988" max="9988" width="5.7109375" style="856" customWidth="1"/>
    <col min="9989" max="9989" width="12.7109375" style="856" customWidth="1"/>
    <col min="9990" max="9990" width="5.7109375" style="856" customWidth="1"/>
    <col min="9991" max="9991" width="12.7109375" style="856" customWidth="1"/>
    <col min="9992" max="9992" width="5.7109375" style="856" customWidth="1"/>
    <col min="9993" max="9995" width="12.7109375" style="856" customWidth="1"/>
    <col min="9996" max="9997" width="5.7109375" style="856" customWidth="1"/>
    <col min="9998" max="9998" width="5.42578125" style="856" customWidth="1"/>
    <col min="9999" max="10001" width="5.5703125" style="856" customWidth="1"/>
    <col min="10002" max="10002" width="5.42578125" style="856" customWidth="1"/>
    <col min="10003" max="10003" width="4.85546875" style="856" customWidth="1"/>
    <col min="10004" max="10240" width="9.140625" style="856"/>
    <col min="10241" max="10241" width="4.140625" style="856" customWidth="1"/>
    <col min="10242" max="10242" width="33.42578125" style="856" customWidth="1"/>
    <col min="10243" max="10243" width="12.7109375" style="856" customWidth="1"/>
    <col min="10244" max="10244" width="5.7109375" style="856" customWidth="1"/>
    <col min="10245" max="10245" width="12.7109375" style="856" customWidth="1"/>
    <col min="10246" max="10246" width="5.7109375" style="856" customWidth="1"/>
    <col min="10247" max="10247" width="12.7109375" style="856" customWidth="1"/>
    <col min="10248" max="10248" width="5.7109375" style="856" customWidth="1"/>
    <col min="10249" max="10251" width="12.7109375" style="856" customWidth="1"/>
    <col min="10252" max="10253" width="5.7109375" style="856" customWidth="1"/>
    <col min="10254" max="10254" width="5.42578125" style="856" customWidth="1"/>
    <col min="10255" max="10257" width="5.5703125" style="856" customWidth="1"/>
    <col min="10258" max="10258" width="5.42578125" style="856" customWidth="1"/>
    <col min="10259" max="10259" width="4.85546875" style="856" customWidth="1"/>
    <col min="10260" max="10496" width="9.140625" style="856"/>
    <col min="10497" max="10497" width="4.140625" style="856" customWidth="1"/>
    <col min="10498" max="10498" width="33.42578125" style="856" customWidth="1"/>
    <col min="10499" max="10499" width="12.7109375" style="856" customWidth="1"/>
    <col min="10500" max="10500" width="5.7109375" style="856" customWidth="1"/>
    <col min="10501" max="10501" width="12.7109375" style="856" customWidth="1"/>
    <col min="10502" max="10502" width="5.7109375" style="856" customWidth="1"/>
    <col min="10503" max="10503" width="12.7109375" style="856" customWidth="1"/>
    <col min="10504" max="10504" width="5.7109375" style="856" customWidth="1"/>
    <col min="10505" max="10507" width="12.7109375" style="856" customWidth="1"/>
    <col min="10508" max="10509" width="5.7109375" style="856" customWidth="1"/>
    <col min="10510" max="10510" width="5.42578125" style="856" customWidth="1"/>
    <col min="10511" max="10513" width="5.5703125" style="856" customWidth="1"/>
    <col min="10514" max="10514" width="5.42578125" style="856" customWidth="1"/>
    <col min="10515" max="10515" width="4.85546875" style="856" customWidth="1"/>
    <col min="10516" max="10752" width="9.140625" style="856"/>
    <col min="10753" max="10753" width="4.140625" style="856" customWidth="1"/>
    <col min="10754" max="10754" width="33.42578125" style="856" customWidth="1"/>
    <col min="10755" max="10755" width="12.7109375" style="856" customWidth="1"/>
    <col min="10756" max="10756" width="5.7109375" style="856" customWidth="1"/>
    <col min="10757" max="10757" width="12.7109375" style="856" customWidth="1"/>
    <col min="10758" max="10758" width="5.7109375" style="856" customWidth="1"/>
    <col min="10759" max="10759" width="12.7109375" style="856" customWidth="1"/>
    <col min="10760" max="10760" width="5.7109375" style="856" customWidth="1"/>
    <col min="10761" max="10763" width="12.7109375" style="856" customWidth="1"/>
    <col min="10764" max="10765" width="5.7109375" style="856" customWidth="1"/>
    <col min="10766" max="10766" width="5.42578125" style="856" customWidth="1"/>
    <col min="10767" max="10769" width="5.5703125" style="856" customWidth="1"/>
    <col min="10770" max="10770" width="5.42578125" style="856" customWidth="1"/>
    <col min="10771" max="10771" width="4.85546875" style="856" customWidth="1"/>
    <col min="10772" max="11008" width="9.140625" style="856"/>
    <col min="11009" max="11009" width="4.140625" style="856" customWidth="1"/>
    <col min="11010" max="11010" width="33.42578125" style="856" customWidth="1"/>
    <col min="11011" max="11011" width="12.7109375" style="856" customWidth="1"/>
    <col min="11012" max="11012" width="5.7109375" style="856" customWidth="1"/>
    <col min="11013" max="11013" width="12.7109375" style="856" customWidth="1"/>
    <col min="11014" max="11014" width="5.7109375" style="856" customWidth="1"/>
    <col min="11015" max="11015" width="12.7109375" style="856" customWidth="1"/>
    <col min="11016" max="11016" width="5.7109375" style="856" customWidth="1"/>
    <col min="11017" max="11019" width="12.7109375" style="856" customWidth="1"/>
    <col min="11020" max="11021" width="5.7109375" style="856" customWidth="1"/>
    <col min="11022" max="11022" width="5.42578125" style="856" customWidth="1"/>
    <col min="11023" max="11025" width="5.5703125" style="856" customWidth="1"/>
    <col min="11026" max="11026" width="5.42578125" style="856" customWidth="1"/>
    <col min="11027" max="11027" width="4.85546875" style="856" customWidth="1"/>
    <col min="11028" max="11264" width="9.140625" style="856"/>
    <col min="11265" max="11265" width="4.140625" style="856" customWidth="1"/>
    <col min="11266" max="11266" width="33.42578125" style="856" customWidth="1"/>
    <col min="11267" max="11267" width="12.7109375" style="856" customWidth="1"/>
    <col min="11268" max="11268" width="5.7109375" style="856" customWidth="1"/>
    <col min="11269" max="11269" width="12.7109375" style="856" customWidth="1"/>
    <col min="11270" max="11270" width="5.7109375" style="856" customWidth="1"/>
    <col min="11271" max="11271" width="12.7109375" style="856" customWidth="1"/>
    <col min="11272" max="11272" width="5.7109375" style="856" customWidth="1"/>
    <col min="11273" max="11275" width="12.7109375" style="856" customWidth="1"/>
    <col min="11276" max="11277" width="5.7109375" style="856" customWidth="1"/>
    <col min="11278" max="11278" width="5.42578125" style="856" customWidth="1"/>
    <col min="11279" max="11281" width="5.5703125" style="856" customWidth="1"/>
    <col min="11282" max="11282" width="5.42578125" style="856" customWidth="1"/>
    <col min="11283" max="11283" width="4.85546875" style="856" customWidth="1"/>
    <col min="11284" max="11520" width="9.140625" style="856"/>
    <col min="11521" max="11521" width="4.140625" style="856" customWidth="1"/>
    <col min="11522" max="11522" width="33.42578125" style="856" customWidth="1"/>
    <col min="11523" max="11523" width="12.7109375" style="856" customWidth="1"/>
    <col min="11524" max="11524" width="5.7109375" style="856" customWidth="1"/>
    <col min="11525" max="11525" width="12.7109375" style="856" customWidth="1"/>
    <col min="11526" max="11526" width="5.7109375" style="856" customWidth="1"/>
    <col min="11527" max="11527" width="12.7109375" style="856" customWidth="1"/>
    <col min="11528" max="11528" width="5.7109375" style="856" customWidth="1"/>
    <col min="11529" max="11531" width="12.7109375" style="856" customWidth="1"/>
    <col min="11532" max="11533" width="5.7109375" style="856" customWidth="1"/>
    <col min="11534" max="11534" width="5.42578125" style="856" customWidth="1"/>
    <col min="11535" max="11537" width="5.5703125" style="856" customWidth="1"/>
    <col min="11538" max="11538" width="5.42578125" style="856" customWidth="1"/>
    <col min="11539" max="11539" width="4.85546875" style="856" customWidth="1"/>
    <col min="11540" max="11776" width="9.140625" style="856"/>
    <col min="11777" max="11777" width="4.140625" style="856" customWidth="1"/>
    <col min="11778" max="11778" width="33.42578125" style="856" customWidth="1"/>
    <col min="11779" max="11779" width="12.7109375" style="856" customWidth="1"/>
    <col min="11780" max="11780" width="5.7109375" style="856" customWidth="1"/>
    <col min="11781" max="11781" width="12.7109375" style="856" customWidth="1"/>
    <col min="11782" max="11782" width="5.7109375" style="856" customWidth="1"/>
    <col min="11783" max="11783" width="12.7109375" style="856" customWidth="1"/>
    <col min="11784" max="11784" width="5.7109375" style="856" customWidth="1"/>
    <col min="11785" max="11787" width="12.7109375" style="856" customWidth="1"/>
    <col min="11788" max="11789" width="5.7109375" style="856" customWidth="1"/>
    <col min="11790" max="11790" width="5.42578125" style="856" customWidth="1"/>
    <col min="11791" max="11793" width="5.5703125" style="856" customWidth="1"/>
    <col min="11794" max="11794" width="5.42578125" style="856" customWidth="1"/>
    <col min="11795" max="11795" width="4.85546875" style="856" customWidth="1"/>
    <col min="11796" max="12032" width="9.140625" style="856"/>
    <col min="12033" max="12033" width="4.140625" style="856" customWidth="1"/>
    <col min="12034" max="12034" width="33.42578125" style="856" customWidth="1"/>
    <col min="12035" max="12035" width="12.7109375" style="856" customWidth="1"/>
    <col min="12036" max="12036" width="5.7109375" style="856" customWidth="1"/>
    <col min="12037" max="12037" width="12.7109375" style="856" customWidth="1"/>
    <col min="12038" max="12038" width="5.7109375" style="856" customWidth="1"/>
    <col min="12039" max="12039" width="12.7109375" style="856" customWidth="1"/>
    <col min="12040" max="12040" width="5.7109375" style="856" customWidth="1"/>
    <col min="12041" max="12043" width="12.7109375" style="856" customWidth="1"/>
    <col min="12044" max="12045" width="5.7109375" style="856" customWidth="1"/>
    <col min="12046" max="12046" width="5.42578125" style="856" customWidth="1"/>
    <col min="12047" max="12049" width="5.5703125" style="856" customWidth="1"/>
    <col min="12050" max="12050" width="5.42578125" style="856" customWidth="1"/>
    <col min="12051" max="12051" width="4.85546875" style="856" customWidth="1"/>
    <col min="12052" max="12288" width="9.140625" style="856"/>
    <col min="12289" max="12289" width="4.140625" style="856" customWidth="1"/>
    <col min="12290" max="12290" width="33.42578125" style="856" customWidth="1"/>
    <col min="12291" max="12291" width="12.7109375" style="856" customWidth="1"/>
    <col min="12292" max="12292" width="5.7109375" style="856" customWidth="1"/>
    <col min="12293" max="12293" width="12.7109375" style="856" customWidth="1"/>
    <col min="12294" max="12294" width="5.7109375" style="856" customWidth="1"/>
    <col min="12295" max="12295" width="12.7109375" style="856" customWidth="1"/>
    <col min="12296" max="12296" width="5.7109375" style="856" customWidth="1"/>
    <col min="12297" max="12299" width="12.7109375" style="856" customWidth="1"/>
    <col min="12300" max="12301" width="5.7109375" style="856" customWidth="1"/>
    <col min="12302" max="12302" width="5.42578125" style="856" customWidth="1"/>
    <col min="12303" max="12305" width="5.5703125" style="856" customWidth="1"/>
    <col min="12306" max="12306" width="5.42578125" style="856" customWidth="1"/>
    <col min="12307" max="12307" width="4.85546875" style="856" customWidth="1"/>
    <col min="12308" max="12544" width="9.140625" style="856"/>
    <col min="12545" max="12545" width="4.140625" style="856" customWidth="1"/>
    <col min="12546" max="12546" width="33.42578125" style="856" customWidth="1"/>
    <col min="12547" max="12547" width="12.7109375" style="856" customWidth="1"/>
    <col min="12548" max="12548" width="5.7109375" style="856" customWidth="1"/>
    <col min="12549" max="12549" width="12.7109375" style="856" customWidth="1"/>
    <col min="12550" max="12550" width="5.7109375" style="856" customWidth="1"/>
    <col min="12551" max="12551" width="12.7109375" style="856" customWidth="1"/>
    <col min="12552" max="12552" width="5.7109375" style="856" customWidth="1"/>
    <col min="12553" max="12555" width="12.7109375" style="856" customWidth="1"/>
    <col min="12556" max="12557" width="5.7109375" style="856" customWidth="1"/>
    <col min="12558" max="12558" width="5.42578125" style="856" customWidth="1"/>
    <col min="12559" max="12561" width="5.5703125" style="856" customWidth="1"/>
    <col min="12562" max="12562" width="5.42578125" style="856" customWidth="1"/>
    <col min="12563" max="12563" width="4.85546875" style="856" customWidth="1"/>
    <col min="12564" max="12800" width="9.140625" style="856"/>
    <col min="12801" max="12801" width="4.140625" style="856" customWidth="1"/>
    <col min="12802" max="12802" width="33.42578125" style="856" customWidth="1"/>
    <col min="12803" max="12803" width="12.7109375" style="856" customWidth="1"/>
    <col min="12804" max="12804" width="5.7109375" style="856" customWidth="1"/>
    <col min="12805" max="12805" width="12.7109375" style="856" customWidth="1"/>
    <col min="12806" max="12806" width="5.7109375" style="856" customWidth="1"/>
    <col min="12807" max="12807" width="12.7109375" style="856" customWidth="1"/>
    <col min="12808" max="12808" width="5.7109375" style="856" customWidth="1"/>
    <col min="12809" max="12811" width="12.7109375" style="856" customWidth="1"/>
    <col min="12812" max="12813" width="5.7109375" style="856" customWidth="1"/>
    <col min="12814" max="12814" width="5.42578125" style="856" customWidth="1"/>
    <col min="12815" max="12817" width="5.5703125" style="856" customWidth="1"/>
    <col min="12818" max="12818" width="5.42578125" style="856" customWidth="1"/>
    <col min="12819" max="12819" width="4.85546875" style="856" customWidth="1"/>
    <col min="12820" max="13056" width="9.140625" style="856"/>
    <col min="13057" max="13057" width="4.140625" style="856" customWidth="1"/>
    <col min="13058" max="13058" width="33.42578125" style="856" customWidth="1"/>
    <col min="13059" max="13059" width="12.7109375" style="856" customWidth="1"/>
    <col min="13060" max="13060" width="5.7109375" style="856" customWidth="1"/>
    <col min="13061" max="13061" width="12.7109375" style="856" customWidth="1"/>
    <col min="13062" max="13062" width="5.7109375" style="856" customWidth="1"/>
    <col min="13063" max="13063" width="12.7109375" style="856" customWidth="1"/>
    <col min="13064" max="13064" width="5.7109375" style="856" customWidth="1"/>
    <col min="13065" max="13067" width="12.7109375" style="856" customWidth="1"/>
    <col min="13068" max="13069" width="5.7109375" style="856" customWidth="1"/>
    <col min="13070" max="13070" width="5.42578125" style="856" customWidth="1"/>
    <col min="13071" max="13073" width="5.5703125" style="856" customWidth="1"/>
    <col min="13074" max="13074" width="5.42578125" style="856" customWidth="1"/>
    <col min="13075" max="13075" width="4.85546875" style="856" customWidth="1"/>
    <col min="13076" max="13312" width="9.140625" style="856"/>
    <col min="13313" max="13313" width="4.140625" style="856" customWidth="1"/>
    <col min="13314" max="13314" width="33.42578125" style="856" customWidth="1"/>
    <col min="13315" max="13315" width="12.7109375" style="856" customWidth="1"/>
    <col min="13316" max="13316" width="5.7109375" style="856" customWidth="1"/>
    <col min="13317" max="13317" width="12.7109375" style="856" customWidth="1"/>
    <col min="13318" max="13318" width="5.7109375" style="856" customWidth="1"/>
    <col min="13319" max="13319" width="12.7109375" style="856" customWidth="1"/>
    <col min="13320" max="13320" width="5.7109375" style="856" customWidth="1"/>
    <col min="13321" max="13323" width="12.7109375" style="856" customWidth="1"/>
    <col min="13324" max="13325" width="5.7109375" style="856" customWidth="1"/>
    <col min="13326" max="13326" width="5.42578125" style="856" customWidth="1"/>
    <col min="13327" max="13329" width="5.5703125" style="856" customWidth="1"/>
    <col min="13330" max="13330" width="5.42578125" style="856" customWidth="1"/>
    <col min="13331" max="13331" width="4.85546875" style="856" customWidth="1"/>
    <col min="13332" max="13568" width="9.140625" style="856"/>
    <col min="13569" max="13569" width="4.140625" style="856" customWidth="1"/>
    <col min="13570" max="13570" width="33.42578125" style="856" customWidth="1"/>
    <col min="13571" max="13571" width="12.7109375" style="856" customWidth="1"/>
    <col min="13572" max="13572" width="5.7109375" style="856" customWidth="1"/>
    <col min="13573" max="13573" width="12.7109375" style="856" customWidth="1"/>
    <col min="13574" max="13574" width="5.7109375" style="856" customWidth="1"/>
    <col min="13575" max="13575" width="12.7109375" style="856" customWidth="1"/>
    <col min="13576" max="13576" width="5.7109375" style="856" customWidth="1"/>
    <col min="13577" max="13579" width="12.7109375" style="856" customWidth="1"/>
    <col min="13580" max="13581" width="5.7109375" style="856" customWidth="1"/>
    <col min="13582" max="13582" width="5.42578125" style="856" customWidth="1"/>
    <col min="13583" max="13585" width="5.5703125" style="856" customWidth="1"/>
    <col min="13586" max="13586" width="5.42578125" style="856" customWidth="1"/>
    <col min="13587" max="13587" width="4.85546875" style="856" customWidth="1"/>
    <col min="13588" max="13824" width="9.140625" style="856"/>
    <col min="13825" max="13825" width="4.140625" style="856" customWidth="1"/>
    <col min="13826" max="13826" width="33.42578125" style="856" customWidth="1"/>
    <col min="13827" max="13827" width="12.7109375" style="856" customWidth="1"/>
    <col min="13828" max="13828" width="5.7109375" style="856" customWidth="1"/>
    <col min="13829" max="13829" width="12.7109375" style="856" customWidth="1"/>
    <col min="13830" max="13830" width="5.7109375" style="856" customWidth="1"/>
    <col min="13831" max="13831" width="12.7109375" style="856" customWidth="1"/>
    <col min="13832" max="13832" width="5.7109375" style="856" customWidth="1"/>
    <col min="13833" max="13835" width="12.7109375" style="856" customWidth="1"/>
    <col min="13836" max="13837" width="5.7109375" style="856" customWidth="1"/>
    <col min="13838" max="13838" width="5.42578125" style="856" customWidth="1"/>
    <col min="13839" max="13841" width="5.5703125" style="856" customWidth="1"/>
    <col min="13842" max="13842" width="5.42578125" style="856" customWidth="1"/>
    <col min="13843" max="13843" width="4.85546875" style="856" customWidth="1"/>
    <col min="13844" max="14080" width="9.140625" style="856"/>
    <col min="14081" max="14081" width="4.140625" style="856" customWidth="1"/>
    <col min="14082" max="14082" width="33.42578125" style="856" customWidth="1"/>
    <col min="14083" max="14083" width="12.7109375" style="856" customWidth="1"/>
    <col min="14084" max="14084" width="5.7109375" style="856" customWidth="1"/>
    <col min="14085" max="14085" width="12.7109375" style="856" customWidth="1"/>
    <col min="14086" max="14086" width="5.7109375" style="856" customWidth="1"/>
    <col min="14087" max="14087" width="12.7109375" style="856" customWidth="1"/>
    <col min="14088" max="14088" width="5.7109375" style="856" customWidth="1"/>
    <col min="14089" max="14091" width="12.7109375" style="856" customWidth="1"/>
    <col min="14092" max="14093" width="5.7109375" style="856" customWidth="1"/>
    <col min="14094" max="14094" width="5.42578125" style="856" customWidth="1"/>
    <col min="14095" max="14097" width="5.5703125" style="856" customWidth="1"/>
    <col min="14098" max="14098" width="5.42578125" style="856" customWidth="1"/>
    <col min="14099" max="14099" width="4.85546875" style="856" customWidth="1"/>
    <col min="14100" max="14336" width="9.140625" style="856"/>
    <col min="14337" max="14337" width="4.140625" style="856" customWidth="1"/>
    <col min="14338" max="14338" width="33.42578125" style="856" customWidth="1"/>
    <col min="14339" max="14339" width="12.7109375" style="856" customWidth="1"/>
    <col min="14340" max="14340" width="5.7109375" style="856" customWidth="1"/>
    <col min="14341" max="14341" width="12.7109375" style="856" customWidth="1"/>
    <col min="14342" max="14342" width="5.7109375" style="856" customWidth="1"/>
    <col min="14343" max="14343" width="12.7109375" style="856" customWidth="1"/>
    <col min="14344" max="14344" width="5.7109375" style="856" customWidth="1"/>
    <col min="14345" max="14347" width="12.7109375" style="856" customWidth="1"/>
    <col min="14348" max="14349" width="5.7109375" style="856" customWidth="1"/>
    <col min="14350" max="14350" width="5.42578125" style="856" customWidth="1"/>
    <col min="14351" max="14353" width="5.5703125" style="856" customWidth="1"/>
    <col min="14354" max="14354" width="5.42578125" style="856" customWidth="1"/>
    <col min="14355" max="14355" width="4.85546875" style="856" customWidth="1"/>
    <col min="14356" max="14592" width="9.140625" style="856"/>
    <col min="14593" max="14593" width="4.140625" style="856" customWidth="1"/>
    <col min="14594" max="14594" width="33.42578125" style="856" customWidth="1"/>
    <col min="14595" max="14595" width="12.7109375" style="856" customWidth="1"/>
    <col min="14596" max="14596" width="5.7109375" style="856" customWidth="1"/>
    <col min="14597" max="14597" width="12.7109375" style="856" customWidth="1"/>
    <col min="14598" max="14598" width="5.7109375" style="856" customWidth="1"/>
    <col min="14599" max="14599" width="12.7109375" style="856" customWidth="1"/>
    <col min="14600" max="14600" width="5.7109375" style="856" customWidth="1"/>
    <col min="14601" max="14603" width="12.7109375" style="856" customWidth="1"/>
    <col min="14604" max="14605" width="5.7109375" style="856" customWidth="1"/>
    <col min="14606" max="14606" width="5.42578125" style="856" customWidth="1"/>
    <col min="14607" max="14609" width="5.5703125" style="856" customWidth="1"/>
    <col min="14610" max="14610" width="5.42578125" style="856" customWidth="1"/>
    <col min="14611" max="14611" width="4.85546875" style="856" customWidth="1"/>
    <col min="14612" max="14848" width="9.140625" style="856"/>
    <col min="14849" max="14849" width="4.140625" style="856" customWidth="1"/>
    <col min="14850" max="14850" width="33.42578125" style="856" customWidth="1"/>
    <col min="14851" max="14851" width="12.7109375" style="856" customWidth="1"/>
    <col min="14852" max="14852" width="5.7109375" style="856" customWidth="1"/>
    <col min="14853" max="14853" width="12.7109375" style="856" customWidth="1"/>
    <col min="14854" max="14854" width="5.7109375" style="856" customWidth="1"/>
    <col min="14855" max="14855" width="12.7109375" style="856" customWidth="1"/>
    <col min="14856" max="14856" width="5.7109375" style="856" customWidth="1"/>
    <col min="14857" max="14859" width="12.7109375" style="856" customWidth="1"/>
    <col min="14860" max="14861" width="5.7109375" style="856" customWidth="1"/>
    <col min="14862" max="14862" width="5.42578125" style="856" customWidth="1"/>
    <col min="14863" max="14865" width="5.5703125" style="856" customWidth="1"/>
    <col min="14866" max="14866" width="5.42578125" style="856" customWidth="1"/>
    <col min="14867" max="14867" width="4.85546875" style="856" customWidth="1"/>
    <col min="14868" max="15104" width="9.140625" style="856"/>
    <col min="15105" max="15105" width="4.140625" style="856" customWidth="1"/>
    <col min="15106" max="15106" width="33.42578125" style="856" customWidth="1"/>
    <col min="15107" max="15107" width="12.7109375" style="856" customWidth="1"/>
    <col min="15108" max="15108" width="5.7109375" style="856" customWidth="1"/>
    <col min="15109" max="15109" width="12.7109375" style="856" customWidth="1"/>
    <col min="15110" max="15110" width="5.7109375" style="856" customWidth="1"/>
    <col min="15111" max="15111" width="12.7109375" style="856" customWidth="1"/>
    <col min="15112" max="15112" width="5.7109375" style="856" customWidth="1"/>
    <col min="15113" max="15115" width="12.7109375" style="856" customWidth="1"/>
    <col min="15116" max="15117" width="5.7109375" style="856" customWidth="1"/>
    <col min="15118" max="15118" width="5.42578125" style="856" customWidth="1"/>
    <col min="15119" max="15121" width="5.5703125" style="856" customWidth="1"/>
    <col min="15122" max="15122" width="5.42578125" style="856" customWidth="1"/>
    <col min="15123" max="15123" width="4.85546875" style="856" customWidth="1"/>
    <col min="15124" max="15360" width="9.140625" style="856"/>
    <col min="15361" max="15361" width="4.140625" style="856" customWidth="1"/>
    <col min="15362" max="15362" width="33.42578125" style="856" customWidth="1"/>
    <col min="15363" max="15363" width="12.7109375" style="856" customWidth="1"/>
    <col min="15364" max="15364" width="5.7109375" style="856" customWidth="1"/>
    <col min="15365" max="15365" width="12.7109375" style="856" customWidth="1"/>
    <col min="15366" max="15366" width="5.7109375" style="856" customWidth="1"/>
    <col min="15367" max="15367" width="12.7109375" style="856" customWidth="1"/>
    <col min="15368" max="15368" width="5.7109375" style="856" customWidth="1"/>
    <col min="15369" max="15371" width="12.7109375" style="856" customWidth="1"/>
    <col min="15372" max="15373" width="5.7109375" style="856" customWidth="1"/>
    <col min="15374" max="15374" width="5.42578125" style="856" customWidth="1"/>
    <col min="15375" max="15377" width="5.5703125" style="856" customWidth="1"/>
    <col min="15378" max="15378" width="5.42578125" style="856" customWidth="1"/>
    <col min="15379" max="15379" width="4.85546875" style="856" customWidth="1"/>
    <col min="15380" max="15616" width="9.140625" style="856"/>
    <col min="15617" max="15617" width="4.140625" style="856" customWidth="1"/>
    <col min="15618" max="15618" width="33.42578125" style="856" customWidth="1"/>
    <col min="15619" max="15619" width="12.7109375" style="856" customWidth="1"/>
    <col min="15620" max="15620" width="5.7109375" style="856" customWidth="1"/>
    <col min="15621" max="15621" width="12.7109375" style="856" customWidth="1"/>
    <col min="15622" max="15622" width="5.7109375" style="856" customWidth="1"/>
    <col min="15623" max="15623" width="12.7109375" style="856" customWidth="1"/>
    <col min="15624" max="15624" width="5.7109375" style="856" customWidth="1"/>
    <col min="15625" max="15627" width="12.7109375" style="856" customWidth="1"/>
    <col min="15628" max="15629" width="5.7109375" style="856" customWidth="1"/>
    <col min="15630" max="15630" width="5.42578125" style="856" customWidth="1"/>
    <col min="15631" max="15633" width="5.5703125" style="856" customWidth="1"/>
    <col min="15634" max="15634" width="5.42578125" style="856" customWidth="1"/>
    <col min="15635" max="15635" width="4.85546875" style="856" customWidth="1"/>
    <col min="15636" max="15872" width="9.140625" style="856"/>
    <col min="15873" max="15873" width="4.140625" style="856" customWidth="1"/>
    <col min="15874" max="15874" width="33.42578125" style="856" customWidth="1"/>
    <col min="15875" max="15875" width="12.7109375" style="856" customWidth="1"/>
    <col min="15876" max="15876" width="5.7109375" style="856" customWidth="1"/>
    <col min="15877" max="15877" width="12.7109375" style="856" customWidth="1"/>
    <col min="15878" max="15878" width="5.7109375" style="856" customWidth="1"/>
    <col min="15879" max="15879" width="12.7109375" style="856" customWidth="1"/>
    <col min="15880" max="15880" width="5.7109375" style="856" customWidth="1"/>
    <col min="15881" max="15883" width="12.7109375" style="856" customWidth="1"/>
    <col min="15884" max="15885" width="5.7109375" style="856" customWidth="1"/>
    <col min="15886" max="15886" width="5.42578125" style="856" customWidth="1"/>
    <col min="15887" max="15889" width="5.5703125" style="856" customWidth="1"/>
    <col min="15890" max="15890" width="5.42578125" style="856" customWidth="1"/>
    <col min="15891" max="15891" width="4.85546875" style="856" customWidth="1"/>
    <col min="15892" max="16128" width="9.140625" style="856"/>
    <col min="16129" max="16129" width="4.140625" style="856" customWidth="1"/>
    <col min="16130" max="16130" width="33.42578125" style="856" customWidth="1"/>
    <col min="16131" max="16131" width="12.7109375" style="856" customWidth="1"/>
    <col min="16132" max="16132" width="5.7109375" style="856" customWidth="1"/>
    <col min="16133" max="16133" width="12.7109375" style="856" customWidth="1"/>
    <col min="16134" max="16134" width="5.7109375" style="856" customWidth="1"/>
    <col min="16135" max="16135" width="12.7109375" style="856" customWidth="1"/>
    <col min="16136" max="16136" width="5.7109375" style="856" customWidth="1"/>
    <col min="16137" max="16139" width="12.7109375" style="856" customWidth="1"/>
    <col min="16140" max="16141" width="5.7109375" style="856" customWidth="1"/>
    <col min="16142" max="16142" width="5.42578125" style="856" customWidth="1"/>
    <col min="16143" max="16145" width="5.5703125" style="856" customWidth="1"/>
    <col min="16146" max="16146" width="5.42578125" style="856" customWidth="1"/>
    <col min="16147" max="16147" width="4.85546875" style="856" customWidth="1"/>
    <col min="16148" max="16384" width="9.140625" style="856"/>
  </cols>
  <sheetData>
    <row r="1" spans="1:21" x14ac:dyDescent="0.3">
      <c r="A1" s="855"/>
    </row>
    <row r="2" spans="1:21" x14ac:dyDescent="0.3">
      <c r="A2" s="857" t="s">
        <v>586</v>
      </c>
      <c r="B2" s="857"/>
      <c r="C2" s="857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8"/>
      <c r="Q2" s="859"/>
    </row>
    <row r="3" spans="1:21" x14ac:dyDescent="0.3">
      <c r="A3" s="934" t="s">
        <v>612</v>
      </c>
      <c r="B3" s="858"/>
      <c r="C3" s="858"/>
      <c r="D3" s="858"/>
      <c r="E3" s="858"/>
      <c r="F3" s="858"/>
      <c r="G3" s="858"/>
      <c r="H3" s="858"/>
      <c r="I3" s="858"/>
      <c r="J3" s="858"/>
      <c r="K3" s="858"/>
      <c r="L3" s="858"/>
      <c r="M3" s="858"/>
      <c r="N3" s="858"/>
      <c r="O3" s="858"/>
      <c r="P3" s="858"/>
      <c r="Q3" s="859"/>
    </row>
    <row r="4" spans="1:21" x14ac:dyDescent="0.3">
      <c r="A4" s="855"/>
      <c r="B4" s="860"/>
      <c r="C4" s="860"/>
      <c r="D4" s="860"/>
      <c r="E4" s="860"/>
      <c r="F4" s="860"/>
      <c r="G4" s="860"/>
      <c r="H4" s="860"/>
      <c r="I4" s="860"/>
      <c r="J4" s="860"/>
      <c r="K4" s="861" t="s">
        <v>587</v>
      </c>
      <c r="L4" s="861"/>
      <c r="M4" s="861"/>
      <c r="N4" s="861"/>
      <c r="O4" s="861"/>
    </row>
    <row r="5" spans="1:21" s="855" customFormat="1" x14ac:dyDescent="0.3">
      <c r="A5" s="862" t="s">
        <v>247</v>
      </c>
      <c r="B5" s="863" t="s">
        <v>588</v>
      </c>
      <c r="C5" s="864" t="s">
        <v>589</v>
      </c>
      <c r="D5" s="864"/>
      <c r="E5" s="864" t="s">
        <v>70</v>
      </c>
      <c r="F5" s="864"/>
      <c r="G5" s="864"/>
      <c r="H5" s="864"/>
      <c r="I5" s="865" t="s">
        <v>250</v>
      </c>
      <c r="J5" s="866"/>
      <c r="K5" s="866"/>
      <c r="L5" s="867"/>
      <c r="M5" s="868" t="s">
        <v>71</v>
      </c>
      <c r="N5" s="868"/>
      <c r="O5" s="869"/>
      <c r="P5" s="856"/>
    </row>
    <row r="6" spans="1:21" s="855" customFormat="1" ht="82.5" x14ac:dyDescent="0.3">
      <c r="A6" s="870"/>
      <c r="B6" s="871"/>
      <c r="C6" s="872"/>
      <c r="D6" s="872"/>
      <c r="E6" s="873" t="s">
        <v>590</v>
      </c>
      <c r="F6" s="873"/>
      <c r="G6" s="873" t="s">
        <v>591</v>
      </c>
      <c r="H6" s="873"/>
      <c r="I6" s="874" t="s">
        <v>252</v>
      </c>
      <c r="J6" s="875" t="s">
        <v>253</v>
      </c>
      <c r="K6" s="876" t="s">
        <v>592</v>
      </c>
      <c r="L6" s="877"/>
      <c r="M6" s="878"/>
      <c r="N6" s="878"/>
      <c r="O6" s="879"/>
      <c r="P6" s="856"/>
    </row>
    <row r="7" spans="1:21" s="855" customFormat="1" x14ac:dyDescent="0.25">
      <c r="A7" s="880"/>
      <c r="B7" s="878"/>
      <c r="C7" s="881" t="s">
        <v>184</v>
      </c>
      <c r="D7" s="882" t="s">
        <v>185</v>
      </c>
      <c r="E7" s="881" t="s">
        <v>184</v>
      </c>
      <c r="F7" s="882" t="s">
        <v>185</v>
      </c>
      <c r="G7" s="881" t="s">
        <v>184</v>
      </c>
      <c r="H7" s="882" t="s">
        <v>185</v>
      </c>
      <c r="I7" s="883" t="s">
        <v>184</v>
      </c>
      <c r="J7" s="884" t="s">
        <v>184</v>
      </c>
      <c r="K7" s="884" t="s">
        <v>184</v>
      </c>
      <c r="L7" s="885" t="s">
        <v>185</v>
      </c>
      <c r="M7" s="886" t="s">
        <v>74</v>
      </c>
      <c r="N7" s="886" t="s">
        <v>75</v>
      </c>
      <c r="O7" s="882" t="s">
        <v>593</v>
      </c>
    </row>
    <row r="8" spans="1:21" s="890" customFormat="1" ht="11.25" x14ac:dyDescent="0.25">
      <c r="A8" s="887">
        <v>1</v>
      </c>
      <c r="B8" s="888">
        <v>2</v>
      </c>
      <c r="C8" s="887">
        <v>3</v>
      </c>
      <c r="D8" s="889">
        <v>4</v>
      </c>
      <c r="E8" s="887">
        <v>5</v>
      </c>
      <c r="F8" s="889">
        <v>6</v>
      </c>
      <c r="G8" s="887">
        <v>7</v>
      </c>
      <c r="H8" s="889">
        <v>8</v>
      </c>
      <c r="I8" s="889">
        <v>9</v>
      </c>
      <c r="J8" s="889">
        <v>10</v>
      </c>
      <c r="K8" s="889">
        <v>11</v>
      </c>
      <c r="L8" s="889">
        <v>12</v>
      </c>
      <c r="M8" s="888">
        <v>13</v>
      </c>
      <c r="N8" s="888">
        <v>14</v>
      </c>
      <c r="O8" s="889">
        <v>15</v>
      </c>
    </row>
    <row r="9" spans="1:21" s="898" customFormat="1" ht="33" x14ac:dyDescent="0.25">
      <c r="A9" s="891" t="s">
        <v>594</v>
      </c>
      <c r="B9" s="892" t="s">
        <v>595</v>
      </c>
      <c r="C9" s="893"/>
      <c r="D9" s="894"/>
      <c r="E9" s="893"/>
      <c r="F9" s="894"/>
      <c r="G9" s="893"/>
      <c r="H9" s="894"/>
      <c r="I9" s="895"/>
      <c r="J9" s="896"/>
      <c r="K9" s="896"/>
      <c r="L9" s="897"/>
      <c r="M9" s="858"/>
      <c r="N9" s="858"/>
      <c r="O9" s="894"/>
    </row>
    <row r="10" spans="1:21" s="855" customFormat="1" x14ac:dyDescent="0.25">
      <c r="A10" s="899" t="s">
        <v>12</v>
      </c>
      <c r="B10" s="900" t="s">
        <v>596</v>
      </c>
      <c r="C10" s="901">
        <v>115045</v>
      </c>
      <c r="D10" s="902">
        <f>IF(C10=0,"",C10/C$24*100)</f>
        <v>100</v>
      </c>
      <c r="E10" s="903">
        <f>4180682-E14</f>
        <v>3707282</v>
      </c>
      <c r="F10" s="902">
        <f>IF(E10=0,"",E10/E$24*100)</f>
        <v>88.676488668595226</v>
      </c>
      <c r="G10" s="903">
        <f>399598-G14</f>
        <v>162538</v>
      </c>
      <c r="H10" s="902">
        <f>IF(G10=0,"",G10/G$24*100)</f>
        <v>40.675378755649426</v>
      </c>
      <c r="I10" s="903">
        <f>3401082-I14</f>
        <v>555742</v>
      </c>
      <c r="J10" s="904">
        <f>1120260+100000-J14</f>
        <v>1120260</v>
      </c>
      <c r="K10" s="905">
        <f>I10+J10</f>
        <v>1676002</v>
      </c>
      <c r="L10" s="906">
        <f>IF(I10=0,"",I10/I$24*100)</f>
        <v>16.340152927803565</v>
      </c>
      <c r="M10" s="907">
        <f t="shared" ref="M10:M24" si="0">IF(C10=0,"",G10/C10*100)</f>
        <v>141.28210700160807</v>
      </c>
      <c r="N10" s="907">
        <f t="shared" ref="N10:N24" si="1">IF(E10=0,"",G10/E10*100)</f>
        <v>4.384290161902979</v>
      </c>
      <c r="O10" s="908">
        <f t="shared" ref="O10:O24" si="2">IF(G10=0,"",K10/G10*100)</f>
        <v>1031.1447169277337</v>
      </c>
    </row>
    <row r="11" spans="1:21" s="855" customFormat="1" x14ac:dyDescent="0.25">
      <c r="A11" s="899" t="s">
        <v>17</v>
      </c>
      <c r="B11" s="900" t="s">
        <v>597</v>
      </c>
      <c r="C11" s="901">
        <f>SUM(C12:C21)</f>
        <v>0</v>
      </c>
      <c r="D11" s="902" t="str">
        <f>IF(C11=0,"",C11/C$24*100)</f>
        <v/>
      </c>
      <c r="E11" s="901">
        <f>SUM(E12:E21)</f>
        <v>473400</v>
      </c>
      <c r="F11" s="902">
        <f>IF(E11=0,"",E11/E$24*100)</f>
        <v>11.323511331404781</v>
      </c>
      <c r="G11" s="901">
        <f>SUM(G12:G21)</f>
        <v>237060</v>
      </c>
      <c r="H11" s="902">
        <f>IF(G11=0,"",G11/G$24*100)</f>
        <v>59.324621244350574</v>
      </c>
      <c r="I11" s="901">
        <f t="shared" ref="I11:K11" si="3">SUM(I12:I21)</f>
        <v>2845340</v>
      </c>
      <c r="J11" s="905">
        <f t="shared" si="3"/>
        <v>100000</v>
      </c>
      <c r="K11" s="905">
        <f t="shared" si="3"/>
        <v>2945340</v>
      </c>
      <c r="L11" s="906">
        <f>IF(I11=0,"",I11/I$24*100)</f>
        <v>83.659847072196442</v>
      </c>
      <c r="M11" s="907" t="str">
        <f t="shared" si="0"/>
        <v/>
      </c>
      <c r="N11" s="907">
        <f t="shared" si="1"/>
        <v>50.076045627376431</v>
      </c>
      <c r="O11" s="908">
        <f t="shared" si="2"/>
        <v>1242.4449506454062</v>
      </c>
    </row>
    <row r="12" spans="1:21" s="855" customFormat="1" x14ac:dyDescent="0.25">
      <c r="A12" s="909"/>
      <c r="B12" s="900" t="s">
        <v>598</v>
      </c>
      <c r="C12" s="903"/>
      <c r="D12" s="902" t="str">
        <f>IF(C12=0,"",C12/C$24*100)</f>
        <v/>
      </c>
      <c r="E12" s="903"/>
      <c r="F12" s="902" t="str">
        <f>IF(E12=0,"",E12/E$24*100)</f>
        <v/>
      </c>
      <c r="G12" s="903"/>
      <c r="H12" s="902" t="str">
        <f>IF(G12=0,"",G12/G$24*100)</f>
        <v/>
      </c>
      <c r="I12" s="903"/>
      <c r="J12" s="904"/>
      <c r="K12" s="905"/>
      <c r="L12" s="906" t="str">
        <f>IF(I12=0,"",I12/I$24*100)</f>
        <v/>
      </c>
      <c r="M12" s="907" t="str">
        <f t="shared" si="0"/>
        <v/>
      </c>
      <c r="N12" s="907" t="str">
        <f t="shared" si="1"/>
        <v/>
      </c>
      <c r="O12" s="908" t="str">
        <f t="shared" si="2"/>
        <v/>
      </c>
      <c r="T12" s="905"/>
    </row>
    <row r="13" spans="1:21" s="855" customFormat="1" x14ac:dyDescent="0.25">
      <c r="A13" s="909"/>
      <c r="B13" s="910" t="s">
        <v>599</v>
      </c>
      <c r="C13" s="903"/>
      <c r="D13" s="902" t="str">
        <f>IF(C13=0,"",C13/C$24*100)</f>
        <v/>
      </c>
      <c r="E13" s="903"/>
      <c r="F13" s="902" t="str">
        <f>IF(E13=0,"",E13/E$24*100)</f>
        <v/>
      </c>
      <c r="G13" s="903"/>
      <c r="H13" s="902" t="str">
        <f>IF(G13=0,"",G13/G$24*100)</f>
        <v/>
      </c>
      <c r="I13" s="903"/>
      <c r="J13" s="904"/>
      <c r="K13" s="905"/>
      <c r="L13" s="906" t="str">
        <f>IF(I13=0,"",I13/I$24*100)</f>
        <v/>
      </c>
      <c r="M13" s="907" t="str">
        <f t="shared" si="0"/>
        <v/>
      </c>
      <c r="N13" s="907" t="str">
        <f t="shared" si="1"/>
        <v/>
      </c>
      <c r="O13" s="908" t="str">
        <f t="shared" si="2"/>
        <v/>
      </c>
      <c r="U13" s="855" t="s">
        <v>600</v>
      </c>
    </row>
    <row r="14" spans="1:21" s="855" customFormat="1" x14ac:dyDescent="0.25">
      <c r="A14" s="909"/>
      <c r="B14" s="911" t="s">
        <v>601</v>
      </c>
      <c r="C14" s="912"/>
      <c r="D14" s="913"/>
      <c r="E14" s="912">
        <v>473400</v>
      </c>
      <c r="F14" s="913"/>
      <c r="G14" s="912">
        <f>74900+162160</f>
        <v>237060</v>
      </c>
      <c r="H14" s="913"/>
      <c r="I14" s="912">
        <f>112840+66000+26500+10000+21000+2609000</f>
        <v>2845340</v>
      </c>
      <c r="J14" s="914">
        <v>100000</v>
      </c>
      <c r="K14" s="915">
        <f>SUM(I14:J14)</f>
        <v>2945340</v>
      </c>
      <c r="L14" s="906">
        <f t="shared" ref="L14" si="4">IF(I14=0,"",I14/I$24*100)</f>
        <v>83.659847072196442</v>
      </c>
      <c r="M14" s="907" t="str">
        <f t="shared" si="0"/>
        <v/>
      </c>
      <c r="N14" s="907">
        <f t="shared" si="1"/>
        <v>50.076045627376431</v>
      </c>
      <c r="O14" s="908">
        <f t="shared" si="2"/>
        <v>1242.4449506454062</v>
      </c>
    </row>
    <row r="15" spans="1:21" s="855" customFormat="1" ht="33" x14ac:dyDescent="0.25">
      <c r="A15" s="909"/>
      <c r="B15" s="910" t="s">
        <v>602</v>
      </c>
      <c r="C15" s="901"/>
      <c r="D15" s="902" t="str">
        <f>IF(C15=0,"",C15/C$24*100)</f>
        <v/>
      </c>
      <c r="E15" s="901"/>
      <c r="F15" s="902" t="str">
        <f>IF(E15=0,"",E15/E$24*100)</f>
        <v/>
      </c>
      <c r="G15" s="901"/>
      <c r="H15" s="902" t="str">
        <f>IF(G15=0,"",G15/G$24*100)</f>
        <v/>
      </c>
      <c r="I15" s="901"/>
      <c r="J15" s="905"/>
      <c r="K15" s="905"/>
      <c r="L15" s="906" t="str">
        <f>IF(I15=0,"",I15/I$24*100)</f>
        <v/>
      </c>
      <c r="M15" s="907" t="str">
        <f t="shared" si="0"/>
        <v/>
      </c>
      <c r="N15" s="907" t="str">
        <f t="shared" si="1"/>
        <v/>
      </c>
      <c r="O15" s="908" t="str">
        <f t="shared" si="2"/>
        <v/>
      </c>
    </row>
    <row r="16" spans="1:21" s="855" customFormat="1" ht="33" x14ac:dyDescent="0.25">
      <c r="A16" s="909"/>
      <c r="B16" s="910" t="s">
        <v>603</v>
      </c>
      <c r="C16" s="901"/>
      <c r="D16" s="902" t="str">
        <f t="shared" ref="D16" si="5">IF(C16=0,"",C16/C$24*100)</f>
        <v/>
      </c>
      <c r="E16" s="901"/>
      <c r="F16" s="902" t="str">
        <f t="shared" ref="F16" si="6">IF(E16=0,"",E16/E$24*100)</f>
        <v/>
      </c>
      <c r="G16" s="901"/>
      <c r="H16" s="902" t="str">
        <f t="shared" ref="H16" si="7">IF(G16=0,"",G16/G$24*100)</f>
        <v/>
      </c>
      <c r="I16" s="901"/>
      <c r="J16" s="905"/>
      <c r="K16" s="905"/>
      <c r="L16" s="906" t="str">
        <f t="shared" ref="L16:L22" si="8">IF(I16=0,"",I16/I$24*100)</f>
        <v/>
      </c>
      <c r="M16" s="907" t="str">
        <f t="shared" si="0"/>
        <v/>
      </c>
      <c r="N16" s="907" t="str">
        <f t="shared" si="1"/>
        <v/>
      </c>
      <c r="O16" s="908" t="str">
        <f t="shared" si="2"/>
        <v/>
      </c>
    </row>
    <row r="17" spans="1:16" s="855" customFormat="1" x14ac:dyDescent="0.25">
      <c r="A17" s="909"/>
      <c r="B17" s="910" t="s">
        <v>604</v>
      </c>
      <c r="C17" s="903"/>
      <c r="D17" s="902" t="str">
        <f>IF(C17=0,"",C17/C$24*100)</f>
        <v/>
      </c>
      <c r="E17" s="903"/>
      <c r="F17" s="902" t="str">
        <f>IF(E17=0,"",E17/E$24*100)</f>
        <v/>
      </c>
      <c r="G17" s="903"/>
      <c r="H17" s="902" t="str">
        <f>IF(G17=0,"",G17/G$24*100)</f>
        <v/>
      </c>
      <c r="I17" s="903"/>
      <c r="J17" s="904"/>
      <c r="K17" s="905"/>
      <c r="L17" s="906" t="str">
        <f t="shared" si="8"/>
        <v/>
      </c>
      <c r="M17" s="907" t="str">
        <f t="shared" si="0"/>
        <v/>
      </c>
      <c r="N17" s="907" t="str">
        <f t="shared" si="1"/>
        <v/>
      </c>
      <c r="O17" s="908" t="str">
        <f t="shared" si="2"/>
        <v/>
      </c>
    </row>
    <row r="18" spans="1:16" s="855" customFormat="1" hidden="1" x14ac:dyDescent="0.25">
      <c r="A18" s="909"/>
      <c r="B18" s="910" t="s">
        <v>605</v>
      </c>
      <c r="C18" s="903"/>
      <c r="D18" s="902" t="str">
        <f>IF(C18=0,"",C18/C$24*100)</f>
        <v/>
      </c>
      <c r="E18" s="903"/>
      <c r="F18" s="902" t="str">
        <f>IF(E18=0,"",E18/E$24*100)</f>
        <v/>
      </c>
      <c r="G18" s="903"/>
      <c r="H18" s="902" t="str">
        <f>IF(G18=0,"",G18/G$24*100)</f>
        <v/>
      </c>
      <c r="I18" s="903"/>
      <c r="J18" s="904"/>
      <c r="K18" s="905"/>
      <c r="L18" s="906" t="str">
        <f t="shared" si="8"/>
        <v/>
      </c>
      <c r="M18" s="907" t="str">
        <f t="shared" si="0"/>
        <v/>
      </c>
      <c r="N18" s="907" t="str">
        <f t="shared" si="1"/>
        <v/>
      </c>
      <c r="O18" s="908" t="str">
        <f t="shared" si="2"/>
        <v/>
      </c>
    </row>
    <row r="19" spans="1:16" s="855" customFormat="1" x14ac:dyDescent="0.25">
      <c r="A19" s="909"/>
      <c r="B19" s="910" t="s">
        <v>606</v>
      </c>
      <c r="C19" s="903"/>
      <c r="D19" s="902" t="str">
        <f>IF(C19=0,"",C19/C$24*100)</f>
        <v/>
      </c>
      <c r="E19" s="903"/>
      <c r="F19" s="902" t="str">
        <f>IF(E19=0,"",E19/E$24*100)</f>
        <v/>
      </c>
      <c r="G19" s="903"/>
      <c r="H19" s="902" t="str">
        <f>IF(G19=0,"",G19/G$24*100)</f>
        <v/>
      </c>
      <c r="I19" s="903"/>
      <c r="J19" s="904"/>
      <c r="K19" s="905"/>
      <c r="L19" s="906" t="str">
        <f t="shared" si="8"/>
        <v/>
      </c>
      <c r="M19" s="907" t="str">
        <f t="shared" si="0"/>
        <v/>
      </c>
      <c r="N19" s="907" t="str">
        <f t="shared" si="1"/>
        <v/>
      </c>
      <c r="O19" s="908" t="str">
        <f t="shared" si="2"/>
        <v/>
      </c>
    </row>
    <row r="20" spans="1:16" s="855" customFormat="1" ht="33" x14ac:dyDescent="0.25">
      <c r="A20" s="909"/>
      <c r="B20" s="910" t="s">
        <v>607</v>
      </c>
      <c r="C20" s="903"/>
      <c r="D20" s="902" t="str">
        <f>IF(C20=0,"",C20/C$24*100)</f>
        <v/>
      </c>
      <c r="E20" s="903"/>
      <c r="F20" s="902" t="str">
        <f>IF(E20=0,"",E20/E$24*100)</f>
        <v/>
      </c>
      <c r="G20" s="903"/>
      <c r="H20" s="902" t="str">
        <f>IF(G20=0,"",G20/G$24*100)</f>
        <v/>
      </c>
      <c r="I20" s="903"/>
      <c r="J20" s="904"/>
      <c r="K20" s="905"/>
      <c r="L20" s="906" t="str">
        <f t="shared" si="8"/>
        <v/>
      </c>
      <c r="M20" s="907" t="str">
        <f t="shared" si="0"/>
        <v/>
      </c>
      <c r="N20" s="907" t="str">
        <f t="shared" si="1"/>
        <v/>
      </c>
      <c r="O20" s="908" t="str">
        <f t="shared" si="2"/>
        <v/>
      </c>
    </row>
    <row r="21" spans="1:16" s="855" customFormat="1" x14ac:dyDescent="0.25">
      <c r="A21" s="909"/>
      <c r="B21" s="910" t="s">
        <v>608</v>
      </c>
      <c r="C21" s="903"/>
      <c r="D21" s="902" t="str">
        <f>IF(C21=0,"",C21/C$24*100)</f>
        <v/>
      </c>
      <c r="E21" s="903"/>
      <c r="F21" s="902" t="str">
        <f>IF(E21=0,"",E21/E$24*100)</f>
        <v/>
      </c>
      <c r="G21" s="903"/>
      <c r="H21" s="902" t="str">
        <f>IF(G21=0,"",G21/G$24*100)</f>
        <v/>
      </c>
      <c r="I21" s="903"/>
      <c r="J21" s="904"/>
      <c r="K21" s="905"/>
      <c r="L21" s="906" t="str">
        <f t="shared" si="8"/>
        <v/>
      </c>
      <c r="M21" s="907" t="str">
        <f t="shared" si="0"/>
        <v/>
      </c>
      <c r="N21" s="907" t="str">
        <f t="shared" si="1"/>
        <v/>
      </c>
      <c r="O21" s="908" t="str">
        <f t="shared" si="2"/>
        <v/>
      </c>
    </row>
    <row r="22" spans="1:16" s="855" customFormat="1" ht="33" x14ac:dyDescent="0.25">
      <c r="A22" s="909"/>
      <c r="B22" s="910" t="s">
        <v>609</v>
      </c>
      <c r="C22" s="903">
        <f>SUM(C10:C11)</f>
        <v>115045</v>
      </c>
      <c r="D22" s="902"/>
      <c r="E22" s="903">
        <f>SUM(E10:E11)</f>
        <v>4180682</v>
      </c>
      <c r="F22" s="902"/>
      <c r="G22" s="903">
        <f>SUM(G10:G11)</f>
        <v>399598</v>
      </c>
      <c r="H22" s="902"/>
      <c r="I22" s="903">
        <f>SUM(I10:I11)</f>
        <v>3401082</v>
      </c>
      <c r="J22" s="904">
        <f>SUM(J10:J11)</f>
        <v>1220260</v>
      </c>
      <c r="K22" s="905">
        <f>SUM(K10:K11)</f>
        <v>4621342</v>
      </c>
      <c r="L22" s="906">
        <f t="shared" si="8"/>
        <v>100</v>
      </c>
      <c r="M22" s="907">
        <f t="shared" si="0"/>
        <v>347.34060584988481</v>
      </c>
      <c r="N22" s="907">
        <f t="shared" si="1"/>
        <v>9.5582012695536278</v>
      </c>
      <c r="O22" s="908">
        <f t="shared" si="2"/>
        <v>1156.4977802691706</v>
      </c>
    </row>
    <row r="23" spans="1:16" s="855" customFormat="1" x14ac:dyDescent="0.25">
      <c r="A23" s="916" t="s">
        <v>149</v>
      </c>
      <c r="B23" s="910" t="s">
        <v>610</v>
      </c>
      <c r="C23" s="917"/>
      <c r="D23" s="918"/>
      <c r="E23" s="917"/>
      <c r="F23" s="918"/>
      <c r="G23" s="917"/>
      <c r="H23" s="918"/>
      <c r="I23" s="917"/>
      <c r="J23" s="919"/>
      <c r="K23" s="920"/>
      <c r="L23" s="921"/>
      <c r="M23" s="922"/>
      <c r="N23" s="922"/>
      <c r="O23" s="923"/>
    </row>
    <row r="24" spans="1:16" s="898" customFormat="1" x14ac:dyDescent="0.3">
      <c r="A24" s="924" t="s">
        <v>165</v>
      </c>
      <c r="B24" s="925" t="s">
        <v>611</v>
      </c>
      <c r="C24" s="926">
        <f>SUM(C22,C23)</f>
        <v>115045</v>
      </c>
      <c r="D24" s="927">
        <f>IF(C24=0,"",C24/C$24*100)</f>
        <v>100</v>
      </c>
      <c r="E24" s="926">
        <f>SUM(E22,E23)</f>
        <v>4180682</v>
      </c>
      <c r="F24" s="927">
        <f>IF(E24=0,"",E24/E$24*100)</f>
        <v>100</v>
      </c>
      <c r="G24" s="926">
        <f>SUM(G22,G23)</f>
        <v>399598</v>
      </c>
      <c r="H24" s="927">
        <f>IF(G24=0,"",G24/G$24*100)</f>
        <v>100</v>
      </c>
      <c r="I24" s="926">
        <f>SUM(I22,I23)</f>
        <v>3401082</v>
      </c>
      <c r="J24" s="928">
        <f>SUM(J22,J23)</f>
        <v>1220260</v>
      </c>
      <c r="K24" s="928">
        <f>SUM(K22,K23)</f>
        <v>4621342</v>
      </c>
      <c r="L24" s="929">
        <f>IF(I24=0,"",I24/I$24*100)</f>
        <v>100</v>
      </c>
      <c r="M24" s="930">
        <f t="shared" si="0"/>
        <v>347.34060584988481</v>
      </c>
      <c r="N24" s="930">
        <f t="shared" si="1"/>
        <v>9.5582012695536278</v>
      </c>
      <c r="O24" s="931">
        <f t="shared" si="2"/>
        <v>1156.4977802691706</v>
      </c>
      <c r="P24" s="932"/>
    </row>
    <row r="26" spans="1:16" x14ac:dyDescent="0.3">
      <c r="K26" s="933">
        <f>+K24-[2]invest1!H102</f>
        <v>0</v>
      </c>
    </row>
  </sheetData>
  <mergeCells count="11">
    <mergeCell ref="K6:L6"/>
    <mergeCell ref="A2:O2"/>
    <mergeCell ref="K4:O4"/>
    <mergeCell ref="A5:A7"/>
    <mergeCell ref="B5:B7"/>
    <mergeCell ref="C5:D6"/>
    <mergeCell ref="E5:H5"/>
    <mergeCell ref="I5:L5"/>
    <mergeCell ref="M5:O6"/>
    <mergeCell ref="E6:F6"/>
    <mergeCell ref="G6:H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1A2D-E1E1-4941-9288-4C7A0D2ADFE1}">
  <dimension ref="A1:L86"/>
  <sheetViews>
    <sheetView workbookViewId="0">
      <selection activeCell="J10" sqref="J10"/>
    </sheetView>
  </sheetViews>
  <sheetFormatPr defaultColWidth="8.85546875" defaultRowHeight="16.5" x14ac:dyDescent="0.3"/>
  <cols>
    <col min="1" max="1" width="9.28515625" style="2" customWidth="1"/>
    <col min="2" max="2" width="72.140625" style="2" customWidth="1"/>
    <col min="3" max="3" width="14.42578125" style="2" customWidth="1"/>
    <col min="4" max="16384" width="8.85546875" style="2"/>
  </cols>
  <sheetData>
    <row r="1" spans="1:12" s="937" customFormat="1" x14ac:dyDescent="0.3">
      <c r="A1" s="935"/>
      <c r="B1" s="936"/>
      <c r="C1" s="936"/>
    </row>
    <row r="2" spans="1:12" s="937" customFormat="1" x14ac:dyDescent="0.3">
      <c r="A2" s="936"/>
      <c r="B2" s="936"/>
      <c r="C2" s="936"/>
    </row>
    <row r="3" spans="1:12" s="937" customFormat="1" ht="38.450000000000003" customHeight="1" x14ac:dyDescent="0.3">
      <c r="A3" s="938" t="s">
        <v>613</v>
      </c>
      <c r="B3" s="938"/>
      <c r="C3" s="938"/>
      <c r="D3" s="939"/>
      <c r="E3" s="939"/>
      <c r="F3" s="939"/>
      <c r="G3" s="939"/>
      <c r="H3" s="939"/>
      <c r="I3" s="939"/>
      <c r="J3" s="939"/>
      <c r="K3" s="939"/>
      <c r="L3" s="939"/>
    </row>
    <row r="4" spans="1:12" s="937" customFormat="1" ht="17.25" thickBot="1" x14ac:dyDescent="0.35">
      <c r="A4" s="854" t="s">
        <v>615</v>
      </c>
      <c r="B4" s="782"/>
      <c r="C4" s="782"/>
    </row>
    <row r="5" spans="1:12" ht="14.45" customHeight="1" thickTop="1" x14ac:dyDescent="0.3">
      <c r="A5" s="940" t="s">
        <v>247</v>
      </c>
      <c r="B5" s="941" t="s">
        <v>248</v>
      </c>
      <c r="C5" s="942" t="s">
        <v>250</v>
      </c>
    </row>
    <row r="6" spans="1:12" x14ac:dyDescent="0.3">
      <c r="A6" s="943"/>
      <c r="B6" s="791"/>
      <c r="C6" s="944"/>
    </row>
    <row r="7" spans="1:12" s="9" customFormat="1" ht="9" customHeight="1" thickBot="1" x14ac:dyDescent="0.3">
      <c r="A7" s="945">
        <v>1</v>
      </c>
      <c r="B7" s="946">
        <v>2</v>
      </c>
      <c r="C7" s="947">
        <v>3</v>
      </c>
    </row>
    <row r="8" spans="1:12" s="4" customFormat="1" ht="17.25" thickTop="1" x14ac:dyDescent="0.3">
      <c r="A8" s="948" t="s">
        <v>12</v>
      </c>
      <c r="B8" s="817" t="s">
        <v>256</v>
      </c>
      <c r="C8" s="949">
        <f>+SUM(C9:C26)</f>
        <v>3332000</v>
      </c>
    </row>
    <row r="9" spans="1:12" ht="31.5" customHeight="1" x14ac:dyDescent="0.3">
      <c r="A9" s="950" t="s">
        <v>14</v>
      </c>
      <c r="B9" s="951" t="s">
        <v>257</v>
      </c>
      <c r="C9" s="952">
        <v>10000</v>
      </c>
    </row>
    <row r="10" spans="1:12" ht="13.15" customHeight="1" x14ac:dyDescent="0.3">
      <c r="A10" s="950" t="s">
        <v>258</v>
      </c>
      <c r="B10" s="953" t="s">
        <v>259</v>
      </c>
      <c r="C10" s="952">
        <v>500</v>
      </c>
    </row>
    <row r="11" spans="1:12" ht="13.15" customHeight="1" x14ac:dyDescent="0.3">
      <c r="A11" s="950" t="s">
        <v>260</v>
      </c>
      <c r="B11" s="953" t="s">
        <v>261</v>
      </c>
      <c r="C11" s="952">
        <v>350000</v>
      </c>
    </row>
    <row r="12" spans="1:12" ht="13.15" customHeight="1" x14ac:dyDescent="0.3">
      <c r="A12" s="950" t="s">
        <v>262</v>
      </c>
      <c r="B12" s="953" t="s">
        <v>263</v>
      </c>
      <c r="C12" s="952">
        <v>432000</v>
      </c>
    </row>
    <row r="13" spans="1:12" ht="13.15" customHeight="1" x14ac:dyDescent="0.3">
      <c r="A13" s="950" t="s">
        <v>264</v>
      </c>
      <c r="B13" s="953" t="s">
        <v>265</v>
      </c>
      <c r="C13" s="952">
        <v>227000</v>
      </c>
    </row>
    <row r="14" spans="1:12" ht="13.15" customHeight="1" x14ac:dyDescent="0.3">
      <c r="A14" s="950" t="s">
        <v>266</v>
      </c>
      <c r="B14" s="953" t="s">
        <v>267</v>
      </c>
      <c r="C14" s="952">
        <v>33000</v>
      </c>
    </row>
    <row r="15" spans="1:12" ht="30" customHeight="1" x14ac:dyDescent="0.3">
      <c r="A15" s="954" t="s">
        <v>268</v>
      </c>
      <c r="B15" s="953" t="s">
        <v>269</v>
      </c>
      <c r="C15" s="955">
        <v>300000</v>
      </c>
    </row>
    <row r="16" spans="1:12" ht="13.15" customHeight="1" x14ac:dyDescent="0.3">
      <c r="A16" s="950" t="s">
        <v>270</v>
      </c>
      <c r="B16" s="953" t="s">
        <v>271</v>
      </c>
      <c r="C16" s="952">
        <v>26000</v>
      </c>
    </row>
    <row r="17" spans="1:3" ht="13.15" customHeight="1" x14ac:dyDescent="0.3">
      <c r="A17" s="950" t="s">
        <v>272</v>
      </c>
      <c r="B17" s="953" t="s">
        <v>273</v>
      </c>
      <c r="C17" s="952">
        <v>5000</v>
      </c>
    </row>
    <row r="18" spans="1:3" ht="13.15" customHeight="1" x14ac:dyDescent="0.3">
      <c r="A18" s="950" t="s">
        <v>274</v>
      </c>
      <c r="B18" s="953" t="s">
        <v>275</v>
      </c>
      <c r="C18" s="952">
        <v>1600000</v>
      </c>
    </row>
    <row r="19" spans="1:3" ht="13.15" customHeight="1" x14ac:dyDescent="0.3">
      <c r="A19" s="950" t="s">
        <v>276</v>
      </c>
      <c r="B19" s="953" t="s">
        <v>277</v>
      </c>
      <c r="C19" s="952">
        <v>66000</v>
      </c>
    </row>
    <row r="20" spans="1:3" ht="13.15" customHeight="1" x14ac:dyDescent="0.3">
      <c r="A20" s="950" t="s">
        <v>278</v>
      </c>
      <c r="B20" s="953" t="s">
        <v>279</v>
      </c>
      <c r="C20" s="952">
        <v>26500</v>
      </c>
    </row>
    <row r="21" spans="1:3" ht="13.15" customHeight="1" x14ac:dyDescent="0.3">
      <c r="A21" s="950" t="s">
        <v>280</v>
      </c>
      <c r="B21" s="953" t="s">
        <v>281</v>
      </c>
      <c r="C21" s="952">
        <v>10000</v>
      </c>
    </row>
    <row r="22" spans="1:3" ht="13.15" customHeight="1" x14ac:dyDescent="0.3">
      <c r="A22" s="950" t="s">
        <v>282</v>
      </c>
      <c r="B22" s="953" t="s">
        <v>283</v>
      </c>
      <c r="C22" s="952">
        <v>100000</v>
      </c>
    </row>
    <row r="23" spans="1:3" ht="13.15" customHeight="1" x14ac:dyDescent="0.3">
      <c r="A23" s="950" t="s">
        <v>284</v>
      </c>
      <c r="B23" s="953" t="s">
        <v>285</v>
      </c>
      <c r="C23" s="952">
        <v>21000</v>
      </c>
    </row>
    <row r="24" spans="1:3" ht="13.15" customHeight="1" x14ac:dyDescent="0.3">
      <c r="A24" s="950" t="s">
        <v>286</v>
      </c>
      <c r="B24" s="953" t="s">
        <v>287</v>
      </c>
      <c r="C24" s="952">
        <v>25000</v>
      </c>
    </row>
    <row r="25" spans="1:3" ht="13.15" customHeight="1" x14ac:dyDescent="0.3">
      <c r="A25" s="950" t="s">
        <v>288</v>
      </c>
      <c r="B25" s="953" t="s">
        <v>289</v>
      </c>
      <c r="C25" s="952">
        <v>50000</v>
      </c>
    </row>
    <row r="26" spans="1:3" ht="13.15" customHeight="1" x14ac:dyDescent="0.3">
      <c r="A26" s="950" t="s">
        <v>290</v>
      </c>
      <c r="B26" s="953" t="s">
        <v>291</v>
      </c>
      <c r="C26" s="952">
        <v>50000</v>
      </c>
    </row>
    <row r="27" spans="1:3" s="4" customFormat="1" x14ac:dyDescent="0.3">
      <c r="A27" s="956" t="s">
        <v>17</v>
      </c>
      <c r="B27" s="957" t="s">
        <v>296</v>
      </c>
      <c r="C27" s="949">
        <f>C28+C59+C70</f>
        <v>727954</v>
      </c>
    </row>
    <row r="28" spans="1:3" s="4" customFormat="1" x14ac:dyDescent="0.3">
      <c r="A28" s="958" t="s">
        <v>19</v>
      </c>
      <c r="B28" s="959" t="s">
        <v>297</v>
      </c>
      <c r="C28" s="960">
        <f>C29+C38+C42+C47+C48</f>
        <v>491996</v>
      </c>
    </row>
    <row r="29" spans="1:3" ht="13.15" customHeight="1" x14ac:dyDescent="0.3">
      <c r="A29" s="950" t="s">
        <v>298</v>
      </c>
      <c r="B29" s="953" t="s">
        <v>299</v>
      </c>
      <c r="C29" s="952">
        <f>C30+C31+C35</f>
        <v>48974</v>
      </c>
    </row>
    <row r="30" spans="1:3" ht="13.15" customHeight="1" x14ac:dyDescent="0.3">
      <c r="A30" s="950" t="s">
        <v>300</v>
      </c>
      <c r="B30" s="953" t="s">
        <v>301</v>
      </c>
      <c r="C30" s="952">
        <v>0</v>
      </c>
    </row>
    <row r="31" spans="1:3" ht="13.15" customHeight="1" x14ac:dyDescent="0.3">
      <c r="A31" s="950" t="s">
        <v>302</v>
      </c>
      <c r="B31" s="953" t="s">
        <v>303</v>
      </c>
      <c r="C31" s="952">
        <f>C32+C33+C34</f>
        <v>30101</v>
      </c>
    </row>
    <row r="32" spans="1:3" ht="13.15" customHeight="1" x14ac:dyDescent="0.3">
      <c r="A32" s="950" t="s">
        <v>304</v>
      </c>
      <c r="B32" s="953" t="s">
        <v>305</v>
      </c>
      <c r="C32" s="952">
        <v>24601</v>
      </c>
    </row>
    <row r="33" spans="1:3" ht="13.15" customHeight="1" x14ac:dyDescent="0.3">
      <c r="A33" s="950" t="s">
        <v>306</v>
      </c>
      <c r="B33" s="953" t="s">
        <v>307</v>
      </c>
      <c r="C33" s="952">
        <v>500</v>
      </c>
    </row>
    <row r="34" spans="1:3" ht="13.15" customHeight="1" x14ac:dyDescent="0.3">
      <c r="A34" s="950" t="s">
        <v>308</v>
      </c>
      <c r="B34" s="953" t="s">
        <v>309</v>
      </c>
      <c r="C34" s="952">
        <v>5000</v>
      </c>
    </row>
    <row r="35" spans="1:3" ht="13.15" customHeight="1" x14ac:dyDescent="0.3">
      <c r="A35" s="950" t="s">
        <v>310</v>
      </c>
      <c r="B35" s="953" t="s">
        <v>311</v>
      </c>
      <c r="C35" s="952">
        <f>C36</f>
        <v>18873</v>
      </c>
    </row>
    <row r="36" spans="1:3" ht="13.15" customHeight="1" x14ac:dyDescent="0.3">
      <c r="A36" s="950" t="s">
        <v>312</v>
      </c>
      <c r="B36" s="953" t="s">
        <v>313</v>
      </c>
      <c r="C36" s="952">
        <v>18873</v>
      </c>
    </row>
    <row r="37" spans="1:3" ht="13.15" customHeight="1" x14ac:dyDescent="0.3">
      <c r="A37" s="950" t="s">
        <v>314</v>
      </c>
      <c r="B37" s="953" t="s">
        <v>315</v>
      </c>
      <c r="C37" s="952">
        <v>0</v>
      </c>
    </row>
    <row r="38" spans="1:3" ht="13.15" customHeight="1" x14ac:dyDescent="0.3">
      <c r="A38" s="950" t="s">
        <v>316</v>
      </c>
      <c r="B38" s="953" t="s">
        <v>317</v>
      </c>
      <c r="C38" s="952">
        <f>C39+C40+C41</f>
        <v>8500</v>
      </c>
    </row>
    <row r="39" spans="1:3" ht="13.15" customHeight="1" x14ac:dyDescent="0.3">
      <c r="A39" s="950" t="s">
        <v>318</v>
      </c>
      <c r="B39" s="953" t="s">
        <v>319</v>
      </c>
      <c r="C39" s="952">
        <v>5000</v>
      </c>
    </row>
    <row r="40" spans="1:3" ht="13.15" customHeight="1" x14ac:dyDescent="0.3">
      <c r="A40" s="950" t="s">
        <v>320</v>
      </c>
      <c r="B40" s="953" t="s">
        <v>321</v>
      </c>
      <c r="C40" s="952">
        <v>500</v>
      </c>
    </row>
    <row r="41" spans="1:3" ht="13.15" customHeight="1" x14ac:dyDescent="0.3">
      <c r="A41" s="950" t="s">
        <v>322</v>
      </c>
      <c r="B41" s="953" t="s">
        <v>325</v>
      </c>
      <c r="C41" s="952">
        <v>3000</v>
      </c>
    </row>
    <row r="42" spans="1:3" ht="13.15" customHeight="1" x14ac:dyDescent="0.3">
      <c r="A42" s="950" t="s">
        <v>328</v>
      </c>
      <c r="B42" s="953" t="s">
        <v>329</v>
      </c>
      <c r="C42" s="952">
        <f>C43+C44+C45+C46</f>
        <v>31887</v>
      </c>
    </row>
    <row r="43" spans="1:3" ht="13.15" customHeight="1" x14ac:dyDescent="0.3">
      <c r="A43" s="950" t="s">
        <v>330</v>
      </c>
      <c r="B43" s="953" t="s">
        <v>331</v>
      </c>
      <c r="C43" s="952">
        <v>2000</v>
      </c>
    </row>
    <row r="44" spans="1:3" ht="13.15" customHeight="1" x14ac:dyDescent="0.3">
      <c r="A44" s="950" t="s">
        <v>332</v>
      </c>
      <c r="B44" s="953" t="s">
        <v>333</v>
      </c>
      <c r="C44" s="952">
        <v>21392</v>
      </c>
    </row>
    <row r="45" spans="1:3" ht="13.15" customHeight="1" x14ac:dyDescent="0.3">
      <c r="A45" s="950" t="s">
        <v>334</v>
      </c>
      <c r="B45" s="953" t="s">
        <v>335</v>
      </c>
      <c r="C45" s="952">
        <v>6000</v>
      </c>
    </row>
    <row r="46" spans="1:3" ht="13.15" customHeight="1" x14ac:dyDescent="0.3">
      <c r="A46" s="950" t="s">
        <v>336</v>
      </c>
      <c r="B46" s="953" t="s">
        <v>337</v>
      </c>
      <c r="C46" s="952">
        <v>2495</v>
      </c>
    </row>
    <row r="47" spans="1:3" ht="13.15" customHeight="1" x14ac:dyDescent="0.3">
      <c r="A47" s="950" t="s">
        <v>338</v>
      </c>
      <c r="B47" s="953" t="s">
        <v>339</v>
      </c>
      <c r="C47" s="952">
        <v>1500</v>
      </c>
    </row>
    <row r="48" spans="1:3" ht="13.15" customHeight="1" x14ac:dyDescent="0.3">
      <c r="A48" s="950" t="s">
        <v>340</v>
      </c>
      <c r="B48" s="953" t="s">
        <v>341</v>
      </c>
      <c r="C48" s="952">
        <f>C49+C50+C51+C52+C53+C54+C55+C56+C57+C58</f>
        <v>401135</v>
      </c>
    </row>
    <row r="49" spans="1:3" ht="13.15" customHeight="1" x14ac:dyDescent="0.3">
      <c r="A49" s="950" t="s">
        <v>342</v>
      </c>
      <c r="B49" s="953" t="s">
        <v>343</v>
      </c>
      <c r="C49" s="952">
        <v>25000</v>
      </c>
    </row>
    <row r="50" spans="1:3" ht="13.15" customHeight="1" x14ac:dyDescent="0.3">
      <c r="A50" s="950" t="s">
        <v>344</v>
      </c>
      <c r="B50" s="953" t="s">
        <v>345</v>
      </c>
      <c r="C50" s="952">
        <v>5000</v>
      </c>
    </row>
    <row r="51" spans="1:3" ht="13.15" customHeight="1" x14ac:dyDescent="0.3">
      <c r="A51" s="950" t="s">
        <v>346</v>
      </c>
      <c r="B51" s="953" t="s">
        <v>347</v>
      </c>
      <c r="C51" s="952">
        <v>30000</v>
      </c>
    </row>
    <row r="52" spans="1:3" ht="13.15" customHeight="1" x14ac:dyDescent="0.3">
      <c r="A52" s="950" t="s">
        <v>348</v>
      </c>
      <c r="B52" s="953" t="s">
        <v>349</v>
      </c>
      <c r="C52" s="952">
        <v>212840</v>
      </c>
    </row>
    <row r="53" spans="1:3" ht="13.15" customHeight="1" x14ac:dyDescent="0.3">
      <c r="A53" s="950" t="s">
        <v>350</v>
      </c>
      <c r="B53" s="953" t="s">
        <v>351</v>
      </c>
      <c r="C53" s="952">
        <v>20000</v>
      </c>
    </row>
    <row r="54" spans="1:3" ht="13.15" customHeight="1" x14ac:dyDescent="0.3">
      <c r="A54" s="950" t="s">
        <v>352</v>
      </c>
      <c r="B54" s="953" t="s">
        <v>353</v>
      </c>
      <c r="C54" s="952">
        <v>54295</v>
      </c>
    </row>
    <row r="55" spans="1:3" ht="13.15" customHeight="1" x14ac:dyDescent="0.3">
      <c r="A55" s="950" t="s">
        <v>354</v>
      </c>
      <c r="B55" s="953" t="s">
        <v>355</v>
      </c>
      <c r="C55" s="952">
        <v>20000</v>
      </c>
    </row>
    <row r="56" spans="1:3" ht="13.15" customHeight="1" x14ac:dyDescent="0.3">
      <c r="A56" s="950" t="s">
        <v>356</v>
      </c>
      <c r="B56" s="953" t="s">
        <v>357</v>
      </c>
      <c r="C56" s="952">
        <v>7000</v>
      </c>
    </row>
    <row r="57" spans="1:3" ht="13.15" customHeight="1" x14ac:dyDescent="0.3">
      <c r="A57" s="950" t="s">
        <v>358</v>
      </c>
      <c r="B57" s="953" t="s">
        <v>359</v>
      </c>
      <c r="C57" s="952">
        <v>20000</v>
      </c>
    </row>
    <row r="58" spans="1:3" ht="13.15" customHeight="1" x14ac:dyDescent="0.3">
      <c r="A58" s="950" t="s">
        <v>360</v>
      </c>
      <c r="B58" s="953" t="s">
        <v>365</v>
      </c>
      <c r="C58" s="952">
        <v>7000</v>
      </c>
    </row>
    <row r="59" spans="1:3" s="4" customFormat="1" x14ac:dyDescent="0.3">
      <c r="A59" s="958" t="s">
        <v>374</v>
      </c>
      <c r="B59" s="959" t="s">
        <v>375</v>
      </c>
      <c r="C59" s="960">
        <f>SUM(C60:C69)</f>
        <v>49958</v>
      </c>
    </row>
    <row r="60" spans="1:3" ht="13.15" customHeight="1" x14ac:dyDescent="0.3">
      <c r="A60" s="950" t="s">
        <v>376</v>
      </c>
      <c r="B60" s="953" t="s">
        <v>377</v>
      </c>
      <c r="C60" s="952">
        <v>1000</v>
      </c>
    </row>
    <row r="61" spans="1:3" ht="13.15" customHeight="1" x14ac:dyDescent="0.3">
      <c r="A61" s="950" t="s">
        <v>378</v>
      </c>
      <c r="B61" s="953" t="s">
        <v>379</v>
      </c>
      <c r="C61" s="952">
        <v>433</v>
      </c>
    </row>
    <row r="62" spans="1:3" ht="13.15" customHeight="1" x14ac:dyDescent="0.3">
      <c r="A62" s="950" t="s">
        <v>380</v>
      </c>
      <c r="B62" s="953" t="s">
        <v>381</v>
      </c>
      <c r="C62" s="952">
        <v>10125</v>
      </c>
    </row>
    <row r="63" spans="1:3" ht="13.15" customHeight="1" x14ac:dyDescent="0.3">
      <c r="A63" s="950" t="s">
        <v>382</v>
      </c>
      <c r="B63" s="953" t="s">
        <v>383</v>
      </c>
      <c r="C63" s="952">
        <v>2000</v>
      </c>
    </row>
    <row r="64" spans="1:3" ht="13.15" customHeight="1" x14ac:dyDescent="0.3">
      <c r="A64" s="950" t="s">
        <v>384</v>
      </c>
      <c r="B64" s="953" t="s">
        <v>371</v>
      </c>
      <c r="C64" s="952">
        <v>8000</v>
      </c>
    </row>
    <row r="65" spans="1:3" ht="13.15" customHeight="1" x14ac:dyDescent="0.3">
      <c r="A65" s="950" t="s">
        <v>385</v>
      </c>
      <c r="B65" s="953" t="s">
        <v>386</v>
      </c>
      <c r="C65" s="952">
        <v>500</v>
      </c>
    </row>
    <row r="66" spans="1:3" ht="13.15" customHeight="1" x14ac:dyDescent="0.3">
      <c r="A66" s="950" t="s">
        <v>387</v>
      </c>
      <c r="B66" s="953" t="s">
        <v>388</v>
      </c>
      <c r="C66" s="952">
        <v>4500</v>
      </c>
    </row>
    <row r="67" spans="1:3" ht="13.15" customHeight="1" x14ac:dyDescent="0.3">
      <c r="A67" s="950" t="s">
        <v>389</v>
      </c>
      <c r="B67" s="953" t="s">
        <v>390</v>
      </c>
      <c r="C67" s="952">
        <v>9400</v>
      </c>
    </row>
    <row r="68" spans="1:3" ht="13.15" customHeight="1" x14ac:dyDescent="0.3">
      <c r="A68" s="950" t="s">
        <v>391</v>
      </c>
      <c r="B68" s="953" t="s">
        <v>392</v>
      </c>
      <c r="C68" s="952">
        <v>4000</v>
      </c>
    </row>
    <row r="69" spans="1:3" ht="13.15" customHeight="1" x14ac:dyDescent="0.3">
      <c r="A69" s="950" t="s">
        <v>393</v>
      </c>
      <c r="B69" s="953" t="s">
        <v>394</v>
      </c>
      <c r="C69" s="952">
        <v>10000</v>
      </c>
    </row>
    <row r="70" spans="1:3" s="4" customFormat="1" x14ac:dyDescent="0.3">
      <c r="A70" s="958" t="s">
        <v>395</v>
      </c>
      <c r="B70" s="959" t="s">
        <v>396</v>
      </c>
      <c r="C70" s="960">
        <f>C71+C72+C73</f>
        <v>186000</v>
      </c>
    </row>
    <row r="71" spans="1:3" ht="13.15" customHeight="1" x14ac:dyDescent="0.3">
      <c r="A71" s="950" t="s">
        <v>397</v>
      </c>
      <c r="B71" s="953" t="s">
        <v>400</v>
      </c>
      <c r="C71" s="952">
        <v>80000</v>
      </c>
    </row>
    <row r="72" spans="1:3" ht="13.15" customHeight="1" x14ac:dyDescent="0.3">
      <c r="A72" s="950" t="s">
        <v>399</v>
      </c>
      <c r="B72" s="953" t="s">
        <v>402</v>
      </c>
      <c r="C72" s="952">
        <v>70000</v>
      </c>
    </row>
    <row r="73" spans="1:3" ht="13.15" customHeight="1" x14ac:dyDescent="0.3">
      <c r="A73" s="950" t="s">
        <v>401</v>
      </c>
      <c r="B73" s="953" t="s">
        <v>404</v>
      </c>
      <c r="C73" s="952">
        <v>36000</v>
      </c>
    </row>
    <row r="74" spans="1:3" ht="15" customHeight="1" x14ac:dyDescent="0.3">
      <c r="A74" s="961" t="s">
        <v>21</v>
      </c>
      <c r="B74" s="817" t="s">
        <v>405</v>
      </c>
      <c r="C74" s="962">
        <f>SUM(C75:C84)</f>
        <v>561388</v>
      </c>
    </row>
    <row r="75" spans="1:3" ht="31.5" customHeight="1" x14ac:dyDescent="0.3">
      <c r="A75" s="963" t="s">
        <v>406</v>
      </c>
      <c r="B75" s="964" t="s">
        <v>407</v>
      </c>
      <c r="C75" s="965">
        <v>71164</v>
      </c>
    </row>
    <row r="76" spans="1:3" ht="25.5" customHeight="1" x14ac:dyDescent="0.3">
      <c r="A76" s="963" t="s">
        <v>408</v>
      </c>
      <c r="B76" s="966" t="s">
        <v>614</v>
      </c>
      <c r="C76" s="965">
        <v>4000</v>
      </c>
    </row>
    <row r="77" spans="1:3" ht="13.15" customHeight="1" x14ac:dyDescent="0.3">
      <c r="A77" s="950" t="s">
        <v>410</v>
      </c>
      <c r="B77" s="953" t="s">
        <v>411</v>
      </c>
      <c r="C77" s="952">
        <v>10000</v>
      </c>
    </row>
    <row r="78" spans="1:3" ht="13.15" customHeight="1" x14ac:dyDescent="0.3">
      <c r="A78" s="950" t="s">
        <v>412</v>
      </c>
      <c r="B78" s="953" t="s">
        <v>413</v>
      </c>
      <c r="C78" s="952">
        <v>39836</v>
      </c>
    </row>
    <row r="79" spans="1:3" ht="13.15" customHeight="1" x14ac:dyDescent="0.3">
      <c r="A79" s="950" t="s">
        <v>414</v>
      </c>
      <c r="B79" s="953" t="s">
        <v>415</v>
      </c>
      <c r="C79" s="952">
        <v>15312</v>
      </c>
    </row>
    <row r="80" spans="1:3" ht="13.15" customHeight="1" x14ac:dyDescent="0.3">
      <c r="A80" s="950" t="s">
        <v>416</v>
      </c>
      <c r="B80" s="953" t="s">
        <v>419</v>
      </c>
      <c r="C80" s="952">
        <v>255076</v>
      </c>
    </row>
    <row r="81" spans="1:3" ht="13.15" customHeight="1" x14ac:dyDescent="0.3">
      <c r="A81" s="950" t="s">
        <v>418</v>
      </c>
      <c r="B81" s="953" t="s">
        <v>421</v>
      </c>
      <c r="C81" s="952">
        <v>16000</v>
      </c>
    </row>
    <row r="82" spans="1:3" ht="13.15" customHeight="1" x14ac:dyDescent="0.3">
      <c r="A82" s="950" t="s">
        <v>420</v>
      </c>
      <c r="B82" s="953" t="s">
        <v>428</v>
      </c>
      <c r="C82" s="952">
        <v>100000</v>
      </c>
    </row>
    <row r="83" spans="1:3" ht="13.15" customHeight="1" x14ac:dyDescent="0.3">
      <c r="A83" s="950" t="s">
        <v>422</v>
      </c>
      <c r="B83" s="953" t="s">
        <v>430</v>
      </c>
      <c r="C83" s="952">
        <v>30000</v>
      </c>
    </row>
    <row r="84" spans="1:3" ht="13.15" customHeight="1" x14ac:dyDescent="0.3">
      <c r="A84" s="950" t="s">
        <v>424</v>
      </c>
      <c r="B84" s="953" t="s">
        <v>432</v>
      </c>
      <c r="C84" s="952">
        <v>20000</v>
      </c>
    </row>
    <row r="85" spans="1:3" s="4" customFormat="1" ht="17.25" thickBot="1" x14ac:dyDescent="0.35">
      <c r="A85" s="967"/>
      <c r="B85" s="968" t="s">
        <v>437</v>
      </c>
      <c r="C85" s="969">
        <f>+C8+C27+C74</f>
        <v>4621342</v>
      </c>
    </row>
    <row r="86" spans="1:3" ht="17.25" thickTop="1" x14ac:dyDescent="0.3">
      <c r="C86" s="45">
        <f>+C85-'[2]inv 2'!K23</f>
        <v>0</v>
      </c>
    </row>
  </sheetData>
  <mergeCells count="4">
    <mergeCell ref="A3:C3"/>
    <mergeCell ref="A5:A6"/>
    <mergeCell ref="B5:B6"/>
    <mergeCell ref="C5: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97104-1982-4667-9A00-B82137939289}">
  <dimension ref="A1:L39"/>
  <sheetViews>
    <sheetView workbookViewId="0">
      <selection activeCell="A5" sqref="A5"/>
    </sheetView>
  </sheetViews>
  <sheetFormatPr defaultColWidth="7.85546875" defaultRowHeight="16.5" x14ac:dyDescent="0.25"/>
  <cols>
    <col min="1" max="1" width="4.28515625" style="972" customWidth="1"/>
    <col min="2" max="2" width="63.140625" style="971" customWidth="1"/>
    <col min="3" max="3" width="26" style="971" customWidth="1"/>
    <col min="4" max="4" width="18.7109375" style="972" customWidth="1"/>
    <col min="5" max="6" width="11.42578125" style="972" customWidth="1"/>
    <col min="7" max="7" width="8.5703125" style="972" customWidth="1"/>
    <col min="8" max="16384" width="7.85546875" style="972"/>
  </cols>
  <sheetData>
    <row r="1" spans="1:12" x14ac:dyDescent="0.25">
      <c r="A1" s="61"/>
    </row>
    <row r="3" spans="1:12" x14ac:dyDescent="0.25">
      <c r="A3" s="973" t="s">
        <v>617</v>
      </c>
      <c r="B3" s="973"/>
      <c r="C3" s="973"/>
      <c r="D3" s="973"/>
      <c r="E3" s="973"/>
      <c r="F3" s="973"/>
      <c r="G3" s="973"/>
    </row>
    <row r="4" spans="1:12" x14ac:dyDescent="0.25">
      <c r="A4" s="1099" t="s">
        <v>662</v>
      </c>
      <c r="B4" s="975"/>
      <c r="C4" s="975"/>
      <c r="D4" s="974"/>
      <c r="E4" s="974"/>
      <c r="F4" s="974"/>
      <c r="G4" s="974"/>
    </row>
    <row r="5" spans="1:12" ht="17.25" thickBot="1" x14ac:dyDescent="0.3">
      <c r="A5" s="1099"/>
      <c r="B5" s="975"/>
      <c r="C5" s="975"/>
      <c r="D5" s="974"/>
      <c r="E5" s="974"/>
      <c r="F5" s="974"/>
      <c r="G5" s="974"/>
    </row>
    <row r="6" spans="1:12" ht="17.25" thickTop="1" x14ac:dyDescent="0.25">
      <c r="A6" s="976" t="s">
        <v>618</v>
      </c>
      <c r="B6" s="977" t="s">
        <v>617</v>
      </c>
      <c r="C6" s="978"/>
      <c r="D6" s="979" t="s">
        <v>619</v>
      </c>
      <c r="E6" s="980" t="s">
        <v>440</v>
      </c>
      <c r="F6" s="980" t="s">
        <v>620</v>
      </c>
      <c r="G6" s="981" t="s">
        <v>621</v>
      </c>
      <c r="K6" s="709"/>
      <c r="L6" s="709"/>
    </row>
    <row r="7" spans="1:12" x14ac:dyDescent="0.25">
      <c r="A7" s="982"/>
      <c r="B7" s="983"/>
      <c r="C7" s="984"/>
      <c r="D7" s="985"/>
      <c r="E7" s="986"/>
      <c r="F7" s="986"/>
      <c r="G7" s="987"/>
      <c r="K7" s="709"/>
      <c r="L7" s="709"/>
    </row>
    <row r="8" spans="1:12" x14ac:dyDescent="0.25">
      <c r="A8" s="988"/>
      <c r="B8" s="989"/>
      <c r="C8" s="990"/>
      <c r="D8" s="991"/>
      <c r="E8" s="992"/>
      <c r="F8" s="992"/>
      <c r="G8" s="993" t="s">
        <v>10</v>
      </c>
    </row>
    <row r="9" spans="1:12" s="999" customFormat="1" ht="12" thickBot="1" x14ac:dyDescent="0.3">
      <c r="A9" s="994">
        <v>1</v>
      </c>
      <c r="B9" s="995">
        <v>2</v>
      </c>
      <c r="C9" s="996"/>
      <c r="D9" s="997">
        <v>3</v>
      </c>
      <c r="E9" s="997">
        <v>4</v>
      </c>
      <c r="F9" s="997">
        <v>5</v>
      </c>
      <c r="G9" s="998">
        <v>6</v>
      </c>
    </row>
    <row r="10" spans="1:12" s="1005" customFormat="1" ht="17.25" thickTop="1" x14ac:dyDescent="0.25">
      <c r="A10" s="1000"/>
      <c r="B10" s="1001" t="s">
        <v>622</v>
      </c>
      <c r="C10" s="1002"/>
      <c r="D10" s="1003"/>
      <c r="E10" s="1003"/>
      <c r="F10" s="1003"/>
      <c r="G10" s="1004"/>
    </row>
    <row r="11" spans="1:12" s="1005" customFormat="1" x14ac:dyDescent="0.25">
      <c r="A11" s="1006" t="s">
        <v>12</v>
      </c>
      <c r="B11" s="1007" t="s">
        <v>623</v>
      </c>
      <c r="C11" s="1008"/>
      <c r="D11" s="1009" t="s">
        <v>624</v>
      </c>
      <c r="E11" s="1010">
        <f>12403000/10769000*100</f>
        <v>115.17318228247748</v>
      </c>
      <c r="F11" s="1010">
        <f>12681000/10882000*100</f>
        <v>116.53188752067634</v>
      </c>
      <c r="G11" s="1011">
        <f>IF(E11=0,0,F11/E11*100)</f>
        <v>101.17970625737027</v>
      </c>
    </row>
    <row r="12" spans="1:12" s="1005" customFormat="1" x14ac:dyDescent="0.25">
      <c r="A12" s="1006"/>
      <c r="B12" s="1012" t="s">
        <v>625</v>
      </c>
      <c r="C12" s="1013" t="s">
        <v>626</v>
      </c>
      <c r="D12" s="991"/>
      <c r="E12" s="1014"/>
      <c r="F12" s="1014"/>
      <c r="G12" s="1015"/>
    </row>
    <row r="13" spans="1:12" x14ac:dyDescent="0.25">
      <c r="A13" s="1016" t="s">
        <v>17</v>
      </c>
      <c r="B13" s="1017" t="s">
        <v>627</v>
      </c>
      <c r="C13" s="1018"/>
      <c r="D13" s="1019" t="s">
        <v>628</v>
      </c>
      <c r="E13" s="1020">
        <f>12403000/142</f>
        <v>87345.070422535209</v>
      </c>
      <c r="F13" s="1020">
        <f>12681000/153</f>
        <v>82882.352941176476</v>
      </c>
      <c r="G13" s="1021">
        <f>IF(E13=0,0,F13/E13*100)</f>
        <v>94.890704810506008</v>
      </c>
    </row>
    <row r="14" spans="1:12" x14ac:dyDescent="0.25">
      <c r="A14" s="1022"/>
      <c r="B14" s="1023" t="s">
        <v>629</v>
      </c>
      <c r="C14" s="1024" t="s">
        <v>630</v>
      </c>
      <c r="D14" s="1025"/>
      <c r="E14" s="1026"/>
      <c r="F14" s="1026"/>
      <c r="G14" s="1015"/>
    </row>
    <row r="15" spans="1:12" x14ac:dyDescent="0.25">
      <c r="A15" s="1016" t="s">
        <v>21</v>
      </c>
      <c r="B15" s="1017" t="s">
        <v>631</v>
      </c>
      <c r="C15" s="1018"/>
      <c r="D15" s="1019" t="s">
        <v>632</v>
      </c>
      <c r="E15" s="1027">
        <f>1634000/12403000*100</f>
        <v>13.174232040635331</v>
      </c>
      <c r="F15" s="1027">
        <f>1799000/12681000*100</f>
        <v>14.186578345556345</v>
      </c>
      <c r="G15" s="1021">
        <f>IF(E15=0,0,F15/E15*100)</f>
        <v>107.68429083227376</v>
      </c>
    </row>
    <row r="16" spans="1:12" x14ac:dyDescent="0.25">
      <c r="A16" s="1028"/>
      <c r="B16" s="1023" t="s">
        <v>633</v>
      </c>
      <c r="C16" s="1024" t="s">
        <v>634</v>
      </c>
      <c r="D16" s="1029"/>
      <c r="E16" s="1030"/>
      <c r="F16" s="1030"/>
      <c r="G16" s="1015"/>
    </row>
    <row r="17" spans="1:7" x14ac:dyDescent="0.25">
      <c r="A17" s="1031" t="s">
        <v>23</v>
      </c>
      <c r="B17" s="1032" t="s">
        <v>635</v>
      </c>
      <c r="C17" s="1033"/>
      <c r="D17" s="1019" t="s">
        <v>636</v>
      </c>
      <c r="E17" s="1020">
        <f>12328000-10426000</f>
        <v>1902000</v>
      </c>
      <c r="F17" s="1020">
        <f>12601000-10790000</f>
        <v>1811000</v>
      </c>
      <c r="G17" s="1021">
        <f>IF(E17=0,0,F17/E17*100)</f>
        <v>95.21556256572029</v>
      </c>
    </row>
    <row r="18" spans="1:7" x14ac:dyDescent="0.25">
      <c r="A18" s="1034"/>
      <c r="B18" s="1023" t="s">
        <v>637</v>
      </c>
      <c r="C18" s="1024" t="s">
        <v>630</v>
      </c>
      <c r="D18" s="1029"/>
      <c r="E18" s="1035"/>
      <c r="F18" s="1035"/>
      <c r="G18" s="1011"/>
    </row>
    <row r="19" spans="1:7" x14ac:dyDescent="0.25">
      <c r="A19" s="1031" t="s">
        <v>29</v>
      </c>
      <c r="B19" s="1036" t="s">
        <v>638</v>
      </c>
      <c r="C19" s="1037"/>
      <c r="D19" s="1038" t="s">
        <v>639</v>
      </c>
      <c r="E19" s="1039" t="s">
        <v>640</v>
      </c>
      <c r="F19" s="1039" t="s">
        <v>641</v>
      </c>
      <c r="G19" s="1040"/>
    </row>
    <row r="20" spans="1:7" x14ac:dyDescent="0.25">
      <c r="A20" s="1031"/>
      <c r="B20" s="1032" t="s">
        <v>642</v>
      </c>
      <c r="C20" s="1033"/>
      <c r="D20" s="1041"/>
      <c r="E20" s="1027">
        <f>+[2]bilanca!H39/[2]bilanca!H71*100</f>
        <v>84.95018192429805</v>
      </c>
      <c r="F20" s="1042">
        <f>+[2]bilanca!J39/[2]bilanca!J71*100</f>
        <v>85.794151642579237</v>
      </c>
      <c r="G20" s="1021">
        <f>IF(E20=0,0,F20/E20*100)</f>
        <v>100.9934878291765</v>
      </c>
    </row>
    <row r="21" spans="1:7" x14ac:dyDescent="0.25">
      <c r="A21" s="1043"/>
      <c r="B21" s="1044" t="s">
        <v>643</v>
      </c>
      <c r="C21" s="1045" t="s">
        <v>634</v>
      </c>
      <c r="D21" s="1029"/>
      <c r="E21" s="1030"/>
      <c r="F21" s="1014"/>
      <c r="G21" s="1011"/>
    </row>
    <row r="22" spans="1:7" x14ac:dyDescent="0.25">
      <c r="A22" s="1046" t="s">
        <v>494</v>
      </c>
      <c r="B22" s="1017" t="s">
        <v>644</v>
      </c>
      <c r="C22" s="1018"/>
      <c r="D22" s="1047" t="s">
        <v>645</v>
      </c>
      <c r="E22" s="1039" t="s">
        <v>640</v>
      </c>
      <c r="F22" s="1039" t="s">
        <v>641</v>
      </c>
      <c r="G22" s="1040"/>
    </row>
    <row r="23" spans="1:7" ht="17.25" thickBot="1" x14ac:dyDescent="0.3">
      <c r="A23" s="1048"/>
      <c r="B23" s="1049" t="s">
        <v>646</v>
      </c>
      <c r="C23" s="1050" t="s">
        <v>647</v>
      </c>
      <c r="D23" s="1051"/>
      <c r="E23" s="1052">
        <f>+[2]bilanca!H24/[2]bilanca!H69</f>
        <v>0.48025703204855413</v>
      </c>
      <c r="F23" s="1052">
        <f>+[2]bilanca!J24/[2]bilanca!J69</f>
        <v>0.66886263256716116</v>
      </c>
      <c r="G23" s="1053">
        <f>F23/E23*100</f>
        <v>139.27180404087014</v>
      </c>
    </row>
    <row r="24" spans="1:7" ht="17.25" thickTop="1" x14ac:dyDescent="0.25">
      <c r="A24" s="1054" t="s">
        <v>45</v>
      </c>
      <c r="B24" s="1055" t="s">
        <v>648</v>
      </c>
      <c r="C24" s="1056"/>
      <c r="D24" s="1057"/>
      <c r="E24" s="1058" t="s">
        <v>70</v>
      </c>
      <c r="F24" s="1058" t="s">
        <v>129</v>
      </c>
      <c r="G24" s="1059"/>
    </row>
    <row r="25" spans="1:7" ht="49.5" hidden="1" x14ac:dyDescent="0.25">
      <c r="A25" s="1060" t="s">
        <v>45</v>
      </c>
      <c r="B25" s="1061" t="s">
        <v>649</v>
      </c>
      <c r="C25" s="1062"/>
      <c r="D25" s="1063"/>
      <c r="E25" s="1064" t="str">
        <f>E6</f>
        <v>Procjena ostvarenja 
I. - XII. 2024.</v>
      </c>
      <c r="F25" s="1065" t="str">
        <f>F6</f>
        <v xml:space="preserve">Plan 
I. - XII. 2025.
</v>
      </c>
      <c r="G25" s="1066"/>
    </row>
    <row r="26" spans="1:7" ht="17.25" hidden="1" thickBot="1" x14ac:dyDescent="0.35">
      <c r="A26" s="1067"/>
      <c r="B26" s="1068" t="s">
        <v>650</v>
      </c>
      <c r="C26" s="1069" t="s">
        <v>651</v>
      </c>
      <c r="D26" s="1070"/>
      <c r="E26" s="1071"/>
      <c r="F26" s="1071"/>
      <c r="G26" s="1072">
        <f t="shared" ref="G26:G28" si="0">IF(E26=0,0,F26/E26*100)</f>
        <v>0</v>
      </c>
    </row>
    <row r="27" spans="1:7" hidden="1" x14ac:dyDescent="0.25">
      <c r="A27" s="1006"/>
      <c r="B27" s="1073" t="s">
        <v>652</v>
      </c>
      <c r="C27" s="1013" t="s">
        <v>651</v>
      </c>
      <c r="D27" s="1074"/>
      <c r="E27" s="1075"/>
      <c r="F27" s="1075"/>
      <c r="G27" s="1076">
        <f t="shared" si="0"/>
        <v>0</v>
      </c>
    </row>
    <row r="28" spans="1:7" hidden="1" x14ac:dyDescent="0.25">
      <c r="A28" s="1006"/>
      <c r="B28" s="1073" t="s">
        <v>653</v>
      </c>
      <c r="C28" s="1013" t="s">
        <v>651</v>
      </c>
      <c r="D28" s="1074"/>
      <c r="E28" s="1077"/>
      <c r="F28" s="1077"/>
      <c r="G28" s="1078">
        <f t="shared" si="0"/>
        <v>0</v>
      </c>
    </row>
    <row r="29" spans="1:7" hidden="1" x14ac:dyDescent="0.25">
      <c r="A29" s="1060" t="s">
        <v>45</v>
      </c>
      <c r="B29" s="1007" t="s">
        <v>654</v>
      </c>
      <c r="C29" s="1008"/>
      <c r="D29" s="1079" t="s">
        <v>655</v>
      </c>
      <c r="E29" s="50"/>
      <c r="F29" s="50"/>
      <c r="G29" s="1080"/>
    </row>
    <row r="30" spans="1:7" ht="33.75" thickBot="1" x14ac:dyDescent="0.35">
      <c r="A30" s="1081"/>
      <c r="B30" s="1049" t="s">
        <v>656</v>
      </c>
      <c r="C30" s="1082" t="s">
        <v>634</v>
      </c>
      <c r="D30" s="1083"/>
      <c r="E30" s="1084">
        <f>(3570000+622000)/10426000*100</f>
        <v>40.207174371762896</v>
      </c>
      <c r="F30" s="1084">
        <f>(4050000+734000)/10790000*100</f>
        <v>44.337349397590359</v>
      </c>
      <c r="G30" s="1053">
        <f>F30/E30*100</f>
        <v>110.27223397406421</v>
      </c>
    </row>
    <row r="31" spans="1:7" ht="17.25" thickTop="1" x14ac:dyDescent="0.25">
      <c r="A31" s="1054"/>
      <c r="B31" s="1055" t="s">
        <v>657</v>
      </c>
      <c r="C31" s="1056"/>
      <c r="D31" s="1085"/>
      <c r="E31" s="1086"/>
      <c r="F31" s="1086"/>
      <c r="G31" s="1087"/>
    </row>
    <row r="32" spans="1:7" x14ac:dyDescent="0.25">
      <c r="A32" s="1060" t="s">
        <v>47</v>
      </c>
      <c r="B32" s="1007" t="s">
        <v>658</v>
      </c>
      <c r="C32" s="1008"/>
      <c r="D32" s="1088" t="s">
        <v>659</v>
      </c>
      <c r="E32" s="1089">
        <f>2481000/10426000*100</f>
        <v>23.796278534433149</v>
      </c>
      <c r="F32" s="1089">
        <f>2643000/10790000*100</f>
        <v>24.494902687673772</v>
      </c>
      <c r="G32" s="1011">
        <f>+F32/E32*100</f>
        <v>102.93585466412203</v>
      </c>
    </row>
    <row r="33" spans="1:7" ht="17.25" thickBot="1" x14ac:dyDescent="0.3">
      <c r="A33" s="1081"/>
      <c r="B33" s="1049" t="s">
        <v>660</v>
      </c>
      <c r="C33" s="1050" t="s">
        <v>634</v>
      </c>
      <c r="D33" s="1090"/>
      <c r="E33" s="1091"/>
      <c r="F33" s="1091"/>
      <c r="G33" s="1092"/>
    </row>
    <row r="34" spans="1:7" ht="17.25" thickTop="1" x14ac:dyDescent="0.25">
      <c r="A34" s="1093"/>
      <c r="B34" s="1094"/>
      <c r="C34" s="1094"/>
      <c r="D34" s="1094"/>
      <c r="E34" s="1094"/>
      <c r="F34" s="1094"/>
      <c r="G34" s="1094"/>
    </row>
    <row r="35" spans="1:7" x14ac:dyDescent="0.25">
      <c r="A35" s="1095"/>
      <c r="B35" s="1096"/>
      <c r="C35" s="1096"/>
      <c r="D35" s="1096"/>
      <c r="E35" s="1096"/>
      <c r="F35" s="1096"/>
      <c r="G35" s="1096"/>
    </row>
    <row r="36" spans="1:7" x14ac:dyDescent="0.25">
      <c r="B36" s="1097"/>
      <c r="C36" s="1097"/>
      <c r="D36" s="1098"/>
      <c r="E36" s="1098"/>
      <c r="F36" s="1098"/>
      <c r="G36" s="1098"/>
    </row>
    <row r="37" spans="1:7" x14ac:dyDescent="0.25">
      <c r="B37" s="1097"/>
      <c r="C37" s="1097"/>
      <c r="D37" s="1098"/>
      <c r="E37" s="1098"/>
      <c r="F37" s="1098"/>
      <c r="G37" s="1098"/>
    </row>
    <row r="38" spans="1:7" x14ac:dyDescent="0.25">
      <c r="A38" s="1098"/>
      <c r="B38" s="1098"/>
      <c r="C38" s="1098"/>
      <c r="D38" s="1098"/>
      <c r="E38" s="1098"/>
      <c r="F38" s="1098"/>
      <c r="G38" s="1098"/>
    </row>
    <row r="39" spans="1:7" x14ac:dyDescent="0.25">
      <c r="B39" s="971" t="s">
        <v>661</v>
      </c>
    </row>
  </sheetData>
  <mergeCells count="39">
    <mergeCell ref="B36:G36"/>
    <mergeCell ref="B37:G37"/>
    <mergeCell ref="A38:G38"/>
    <mergeCell ref="D32:D33"/>
    <mergeCell ref="E32:E33"/>
    <mergeCell ref="F32:F33"/>
    <mergeCell ref="G32:G33"/>
    <mergeCell ref="A34:G34"/>
    <mergeCell ref="A35:G35"/>
    <mergeCell ref="D19:D21"/>
    <mergeCell ref="E20:E21"/>
    <mergeCell ref="F20:F21"/>
    <mergeCell ref="G20:G21"/>
    <mergeCell ref="D22:D23"/>
    <mergeCell ref="D29:D30"/>
    <mergeCell ref="D15:D16"/>
    <mergeCell ref="E15:E16"/>
    <mergeCell ref="F15:F16"/>
    <mergeCell ref="G15:G16"/>
    <mergeCell ref="D17:D18"/>
    <mergeCell ref="E17:E18"/>
    <mergeCell ref="F17:F18"/>
    <mergeCell ref="G17:G18"/>
    <mergeCell ref="B9:C9"/>
    <mergeCell ref="D11:D12"/>
    <mergeCell ref="E11:E12"/>
    <mergeCell ref="F11:F12"/>
    <mergeCell ref="G11:G12"/>
    <mergeCell ref="D13:D14"/>
    <mergeCell ref="E13:E14"/>
    <mergeCell ref="F13:F14"/>
    <mergeCell ref="G13:G14"/>
    <mergeCell ref="A3:G3"/>
    <mergeCell ref="A6:A8"/>
    <mergeCell ref="B6:C8"/>
    <mergeCell ref="D6:D8"/>
    <mergeCell ref="E6:E8"/>
    <mergeCell ref="F6:F8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workbookViewId="0">
      <selection activeCell="A5" sqref="A5"/>
    </sheetView>
  </sheetViews>
  <sheetFormatPr defaultColWidth="9.140625" defaultRowHeight="12.75" x14ac:dyDescent="0.2"/>
  <cols>
    <col min="1" max="1" width="5" style="128" customWidth="1"/>
    <col min="2" max="2" width="51.85546875" style="128" customWidth="1"/>
    <col min="3" max="3" width="18.5703125" style="128" customWidth="1"/>
    <col min="4" max="4" width="19.5703125" style="128" customWidth="1"/>
    <col min="5" max="5" width="20.7109375" style="128" customWidth="1"/>
    <col min="6" max="6" width="18.42578125" style="128" customWidth="1"/>
    <col min="7" max="7" width="8.7109375" style="128" customWidth="1"/>
    <col min="8" max="9" width="7.5703125" style="128" customWidth="1"/>
    <col min="10" max="16384" width="9.140625" style="128"/>
  </cols>
  <sheetData>
    <row r="1" spans="1:9" ht="15.75" x14ac:dyDescent="0.25">
      <c r="A1" s="127"/>
    </row>
    <row r="2" spans="1:9" ht="15" x14ac:dyDescent="0.25">
      <c r="A2" s="129"/>
    </row>
    <row r="3" spans="1:9" ht="22.5" customHeight="1" x14ac:dyDescent="0.2">
      <c r="A3" s="534" t="s">
        <v>121</v>
      </c>
      <c r="B3" s="534"/>
      <c r="C3" s="534"/>
      <c r="D3" s="534"/>
      <c r="E3" s="534"/>
      <c r="F3" s="534"/>
      <c r="G3" s="534"/>
      <c r="H3" s="534"/>
      <c r="I3" s="534"/>
    </row>
    <row r="4" spans="1:9" ht="22.5" customHeight="1" x14ac:dyDescent="0.2">
      <c r="A4" s="65" t="s">
        <v>574</v>
      </c>
      <c r="B4" s="130"/>
      <c r="C4" s="130"/>
      <c r="D4" s="130"/>
      <c r="E4" s="130"/>
      <c r="F4" s="130"/>
      <c r="G4" s="130"/>
      <c r="H4" s="130"/>
      <c r="I4" s="130"/>
    </row>
    <row r="5" spans="1:9" ht="13.5" thickBot="1" x14ac:dyDescent="0.25">
      <c r="I5" s="131" t="s">
        <v>122</v>
      </c>
    </row>
    <row r="6" spans="1:9" ht="34.5" customHeight="1" x14ac:dyDescent="0.2">
      <c r="A6" s="535" t="s">
        <v>123</v>
      </c>
      <c r="B6" s="537" t="s">
        <v>124</v>
      </c>
      <c r="C6" s="132" t="s">
        <v>125</v>
      </c>
      <c r="D6" s="133" t="s">
        <v>88</v>
      </c>
      <c r="E6" s="133" t="s">
        <v>126</v>
      </c>
      <c r="F6" s="133" t="s">
        <v>127</v>
      </c>
      <c r="G6" s="539" t="s">
        <v>71</v>
      </c>
      <c r="H6" s="540"/>
      <c r="I6" s="541"/>
    </row>
    <row r="7" spans="1:9" ht="18" customHeight="1" thickBot="1" x14ac:dyDescent="0.25">
      <c r="A7" s="536"/>
      <c r="B7" s="538"/>
      <c r="C7" s="134" t="s">
        <v>128</v>
      </c>
      <c r="D7" s="135" t="s">
        <v>70</v>
      </c>
      <c r="E7" s="135" t="s">
        <v>70</v>
      </c>
      <c r="F7" s="136" t="s">
        <v>129</v>
      </c>
      <c r="G7" s="137" t="s">
        <v>9</v>
      </c>
      <c r="H7" s="138" t="s">
        <v>10</v>
      </c>
      <c r="I7" s="139" t="s">
        <v>11</v>
      </c>
    </row>
    <row r="8" spans="1:9" s="147" customFormat="1" ht="13.5" thickBot="1" x14ac:dyDescent="0.25">
      <c r="A8" s="140">
        <v>1</v>
      </c>
      <c r="B8" s="141">
        <v>2</v>
      </c>
      <c r="C8" s="142">
        <v>3</v>
      </c>
      <c r="D8" s="143">
        <v>4</v>
      </c>
      <c r="E8" s="141">
        <v>5</v>
      </c>
      <c r="F8" s="144">
        <v>6</v>
      </c>
      <c r="G8" s="140">
        <v>7</v>
      </c>
      <c r="H8" s="145">
        <v>8</v>
      </c>
      <c r="I8" s="146">
        <v>9</v>
      </c>
    </row>
    <row r="9" spans="1:9" s="67" customFormat="1" ht="22.5" customHeight="1" thickTop="1" thickBot="1" x14ac:dyDescent="0.3">
      <c r="A9" s="148" t="s">
        <v>130</v>
      </c>
      <c r="B9" s="149" t="s">
        <v>131</v>
      </c>
      <c r="C9" s="150">
        <f>SUM(C10,C26)</f>
        <v>13882025</v>
      </c>
      <c r="D9" s="151">
        <f>D10+D26</f>
        <v>11904000</v>
      </c>
      <c r="E9" s="152">
        <f>SUM(E10,E26)</f>
        <v>12403000</v>
      </c>
      <c r="F9" s="153">
        <f>SUM(F10,F26)</f>
        <v>12681000</v>
      </c>
      <c r="G9" s="154">
        <f>IF(C9=0,"",E9/C9*100)</f>
        <v>89.345754671958872</v>
      </c>
      <c r="H9" s="155">
        <f>IF(D9=0,"",E9/D9*100)</f>
        <v>104.1918682795699</v>
      </c>
      <c r="I9" s="156">
        <f>IF(E9=0,"",F9/E9*100)</f>
        <v>102.24139321131985</v>
      </c>
    </row>
    <row r="10" spans="1:9" s="67" customFormat="1" ht="22.5" customHeight="1" thickBot="1" x14ac:dyDescent="0.3">
      <c r="A10" s="157"/>
      <c r="B10" s="158" t="s">
        <v>132</v>
      </c>
      <c r="C10" s="159">
        <f>SUM(C11,C12,C13,C14,C18)</f>
        <v>13826287</v>
      </c>
      <c r="D10" s="160">
        <f>D11+D12+D13+D14+D18</f>
        <v>11844000</v>
      </c>
      <c r="E10" s="160">
        <f>E11+E12+E13+E14+E18</f>
        <v>12328000</v>
      </c>
      <c r="F10" s="161">
        <f t="shared" ref="F10" si="0">SUM(F11,F12,F13,F14,F18)</f>
        <v>12601000</v>
      </c>
      <c r="G10" s="162">
        <f t="shared" ref="G10:G46" si="1">IF(C10=0,"",E10/C10*100)</f>
        <v>89.163489807494955</v>
      </c>
      <c r="H10" s="163">
        <f t="shared" ref="H10:I46" si="2">IF(D10=0,"",E10/D10*100)</f>
        <v>104.08645727794664</v>
      </c>
      <c r="I10" s="164">
        <f t="shared" si="2"/>
        <v>102.21447112264764</v>
      </c>
    </row>
    <row r="11" spans="1:9" s="67" customFormat="1" ht="45.75" thickTop="1" x14ac:dyDescent="0.25">
      <c r="A11" s="157"/>
      <c r="B11" s="165" t="s">
        <v>133</v>
      </c>
      <c r="C11" s="166">
        <v>3227711</v>
      </c>
      <c r="D11" s="167">
        <v>2905000</v>
      </c>
      <c r="E11" s="168">
        <f>2139000+1948000-(394000+49000+53000+323000)</f>
        <v>3268000</v>
      </c>
      <c r="F11" s="169">
        <f>1759000+2105000-(410000+150000+53000+229000)</f>
        <v>3022000</v>
      </c>
      <c r="G11" s="170">
        <f t="shared" si="1"/>
        <v>101.24822203722701</v>
      </c>
      <c r="H11" s="171">
        <f t="shared" si="2"/>
        <v>112.49569707401032</v>
      </c>
      <c r="I11" s="172">
        <f t="shared" si="2"/>
        <v>92.47246022031824</v>
      </c>
    </row>
    <row r="12" spans="1:9" s="67" customFormat="1" ht="33.75" customHeight="1" x14ac:dyDescent="0.25">
      <c r="A12" s="157"/>
      <c r="B12" s="173" t="s">
        <v>134</v>
      </c>
      <c r="C12" s="166">
        <v>447788</v>
      </c>
      <c r="D12" s="167">
        <v>400000</v>
      </c>
      <c r="E12" s="168">
        <f>294000+100000</f>
        <v>394000</v>
      </c>
      <c r="F12" s="169">
        <f>310000+100000</f>
        <v>410000</v>
      </c>
      <c r="G12" s="170">
        <f t="shared" si="1"/>
        <v>87.988065781128569</v>
      </c>
      <c r="H12" s="171">
        <f t="shared" si="2"/>
        <v>98.5</v>
      </c>
      <c r="I12" s="172">
        <f t="shared" si="2"/>
        <v>104.06091370558374</v>
      </c>
    </row>
    <row r="13" spans="1:9" s="67" customFormat="1" ht="20.25" customHeight="1" x14ac:dyDescent="0.25">
      <c r="A13" s="157"/>
      <c r="B13" s="173" t="s">
        <v>135</v>
      </c>
      <c r="C13" s="166"/>
      <c r="D13" s="167"/>
      <c r="E13" s="168"/>
      <c r="F13" s="169"/>
      <c r="G13" s="170" t="str">
        <f t="shared" si="1"/>
        <v/>
      </c>
      <c r="H13" s="171" t="str">
        <f t="shared" si="2"/>
        <v/>
      </c>
      <c r="I13" s="172" t="str">
        <f t="shared" si="2"/>
        <v/>
      </c>
    </row>
    <row r="14" spans="1:9" s="67" customFormat="1" ht="20.25" customHeight="1" x14ac:dyDescent="0.25">
      <c r="A14" s="157"/>
      <c r="B14" s="165" t="s">
        <v>136</v>
      </c>
      <c r="C14" s="174">
        <f>SUM(C15:C17)</f>
        <v>1887021</v>
      </c>
      <c r="D14" s="175">
        <f t="shared" ref="D14:E14" si="3">SUM(D15:D17)</f>
        <v>1992800</v>
      </c>
      <c r="E14" s="176">
        <f t="shared" si="3"/>
        <v>2315000</v>
      </c>
      <c r="F14" s="177">
        <f>SUM(F15:F17)</f>
        <v>2522000</v>
      </c>
      <c r="G14" s="178">
        <f t="shared" si="1"/>
        <v>122.68013975467152</v>
      </c>
      <c r="H14" s="179">
        <f t="shared" si="2"/>
        <v>116.1682055399438</v>
      </c>
      <c r="I14" s="180">
        <f t="shared" si="2"/>
        <v>108.94168466522677</v>
      </c>
    </row>
    <row r="15" spans="1:9" s="67" customFormat="1" ht="33.75" customHeight="1" x14ac:dyDescent="0.25">
      <c r="A15" s="157"/>
      <c r="B15" s="173" t="s">
        <v>137</v>
      </c>
      <c r="C15" s="181">
        <v>13314</v>
      </c>
      <c r="D15" s="182">
        <v>46000</v>
      </c>
      <c r="E15" s="183">
        <v>49000</v>
      </c>
      <c r="F15" s="184">
        <v>150000</v>
      </c>
      <c r="G15" s="185">
        <f t="shared" si="1"/>
        <v>368.03364879074661</v>
      </c>
      <c r="H15" s="186">
        <f t="shared" si="2"/>
        <v>106.5217391304348</v>
      </c>
      <c r="I15" s="187">
        <f t="shared" si="2"/>
        <v>306.12244897959181</v>
      </c>
    </row>
    <row r="16" spans="1:9" s="67" customFormat="1" ht="20.25" customHeight="1" x14ac:dyDescent="0.25">
      <c r="A16" s="157"/>
      <c r="B16" s="173" t="s">
        <v>138</v>
      </c>
      <c r="C16" s="188">
        <v>1840107</v>
      </c>
      <c r="D16" s="189">
        <v>1907000</v>
      </c>
      <c r="E16" s="190">
        <v>2213000</v>
      </c>
      <c r="F16" s="191">
        <v>2319000</v>
      </c>
      <c r="G16" s="192">
        <f t="shared" si="1"/>
        <v>120.26474547404035</v>
      </c>
      <c r="H16" s="193">
        <f t="shared" si="2"/>
        <v>116.04614577871001</v>
      </c>
      <c r="I16" s="194">
        <f t="shared" si="2"/>
        <v>104.78987799367374</v>
      </c>
    </row>
    <row r="17" spans="1:9" s="67" customFormat="1" ht="20.25" customHeight="1" x14ac:dyDescent="0.25">
      <c r="A17" s="157"/>
      <c r="B17" s="173" t="s">
        <v>139</v>
      </c>
      <c r="C17" s="188">
        <v>33600</v>
      </c>
      <c r="D17" s="189">
        <v>39800</v>
      </c>
      <c r="E17" s="190">
        <v>53000</v>
      </c>
      <c r="F17" s="191">
        <v>53000</v>
      </c>
      <c r="G17" s="192">
        <f t="shared" si="1"/>
        <v>157.73809523809524</v>
      </c>
      <c r="H17" s="193">
        <f t="shared" si="2"/>
        <v>133.16582914572865</v>
      </c>
      <c r="I17" s="194">
        <f t="shared" si="2"/>
        <v>100</v>
      </c>
    </row>
    <row r="18" spans="1:9" s="67" customFormat="1" ht="20.25" customHeight="1" x14ac:dyDescent="0.25">
      <c r="A18" s="157"/>
      <c r="B18" s="165" t="s">
        <v>140</v>
      </c>
      <c r="C18" s="195">
        <f>SUM(C19:C25)</f>
        <v>8263767</v>
      </c>
      <c r="D18" s="196">
        <f t="shared" ref="D18:E18" si="4">SUM(D19:D25)</f>
        <v>6546200</v>
      </c>
      <c r="E18" s="197">
        <f t="shared" si="4"/>
        <v>6351000</v>
      </c>
      <c r="F18" s="198">
        <f>SUM(F19:F25)</f>
        <v>6647000</v>
      </c>
      <c r="G18" s="199">
        <f t="shared" si="1"/>
        <v>76.853570532663866</v>
      </c>
      <c r="H18" s="200">
        <f t="shared" si="2"/>
        <v>97.018117381076038</v>
      </c>
      <c r="I18" s="201">
        <f t="shared" si="2"/>
        <v>104.66068335695167</v>
      </c>
    </row>
    <row r="19" spans="1:9" s="67" customFormat="1" ht="20.25" customHeight="1" x14ac:dyDescent="0.25">
      <c r="A19" s="157"/>
      <c r="B19" s="165" t="s">
        <v>141</v>
      </c>
      <c r="C19" s="181">
        <v>4448397</v>
      </c>
      <c r="D19" s="182">
        <v>5593000</v>
      </c>
      <c r="E19" s="183">
        <v>5352000</v>
      </c>
      <c r="F19" s="184">
        <v>5945000</v>
      </c>
      <c r="G19" s="185">
        <f t="shared" si="1"/>
        <v>120.31300263892814</v>
      </c>
      <c r="H19" s="186">
        <f t="shared" si="2"/>
        <v>95.691042374396559</v>
      </c>
      <c r="I19" s="187">
        <f t="shared" si="2"/>
        <v>111.07997010463377</v>
      </c>
    </row>
    <row r="20" spans="1:9" s="67" customFormat="1" ht="33.75" customHeight="1" x14ac:dyDescent="0.25">
      <c r="A20" s="157"/>
      <c r="B20" s="165" t="s">
        <v>142</v>
      </c>
      <c r="C20" s="188"/>
      <c r="D20" s="189"/>
      <c r="E20" s="190"/>
      <c r="F20" s="191"/>
      <c r="G20" s="192" t="str">
        <f t="shared" si="1"/>
        <v/>
      </c>
      <c r="H20" s="193" t="str">
        <f t="shared" si="2"/>
        <v/>
      </c>
      <c r="I20" s="194" t="str">
        <f t="shared" si="2"/>
        <v/>
      </c>
    </row>
    <row r="21" spans="1:9" s="67" customFormat="1" ht="33.75" customHeight="1" x14ac:dyDescent="0.25">
      <c r="A21" s="157"/>
      <c r="B21" s="165" t="s">
        <v>143</v>
      </c>
      <c r="C21" s="188"/>
      <c r="D21" s="189"/>
      <c r="E21" s="190"/>
      <c r="F21" s="191"/>
      <c r="G21" s="192" t="str">
        <f t="shared" si="1"/>
        <v/>
      </c>
      <c r="H21" s="193" t="str">
        <f t="shared" si="2"/>
        <v/>
      </c>
      <c r="I21" s="194" t="str">
        <f t="shared" si="2"/>
        <v/>
      </c>
    </row>
    <row r="22" spans="1:9" s="67" customFormat="1" ht="20.25" customHeight="1" x14ac:dyDescent="0.25">
      <c r="A22" s="157"/>
      <c r="B22" s="165" t="s">
        <v>144</v>
      </c>
      <c r="C22" s="188">
        <v>24174</v>
      </c>
      <c r="D22" s="189">
        <v>60000</v>
      </c>
      <c r="E22" s="190">
        <v>60000</v>
      </c>
      <c r="F22" s="191">
        <v>60000</v>
      </c>
      <c r="G22" s="192">
        <f t="shared" si="1"/>
        <v>248.20054604120131</v>
      </c>
      <c r="H22" s="193">
        <f t="shared" si="2"/>
        <v>100</v>
      </c>
      <c r="I22" s="194">
        <f t="shared" si="2"/>
        <v>100</v>
      </c>
    </row>
    <row r="23" spans="1:9" s="67" customFormat="1" ht="20.25" customHeight="1" x14ac:dyDescent="0.25">
      <c r="A23" s="157"/>
      <c r="B23" s="165" t="s">
        <v>145</v>
      </c>
      <c r="C23" s="188">
        <v>51402</v>
      </c>
      <c r="D23" s="189">
        <v>20000</v>
      </c>
      <c r="E23" s="190">
        <v>20000</v>
      </c>
      <c r="F23" s="191">
        <v>20000</v>
      </c>
      <c r="G23" s="192">
        <f t="shared" si="1"/>
        <v>38.908991868020699</v>
      </c>
      <c r="H23" s="193">
        <f t="shared" si="2"/>
        <v>100</v>
      </c>
      <c r="I23" s="194">
        <f t="shared" si="2"/>
        <v>100</v>
      </c>
    </row>
    <row r="24" spans="1:9" s="67" customFormat="1" ht="20.25" customHeight="1" x14ac:dyDescent="0.25">
      <c r="A24" s="157"/>
      <c r="B24" s="165" t="s">
        <v>146</v>
      </c>
      <c r="C24" s="202">
        <v>317306</v>
      </c>
      <c r="D24" s="203"/>
      <c r="E24" s="204"/>
      <c r="F24" s="205"/>
      <c r="G24" s="206">
        <f t="shared" si="1"/>
        <v>0</v>
      </c>
      <c r="H24" s="207" t="str">
        <f t="shared" si="2"/>
        <v/>
      </c>
      <c r="I24" s="208" t="str">
        <f t="shared" si="2"/>
        <v/>
      </c>
    </row>
    <row r="25" spans="1:9" s="216" customFormat="1" ht="20.25" customHeight="1" thickBot="1" x14ac:dyDescent="0.3">
      <c r="A25" s="157"/>
      <c r="B25" s="165" t="s">
        <v>147</v>
      </c>
      <c r="C25" s="209">
        <v>3422488</v>
      </c>
      <c r="D25" s="210">
        <v>873200</v>
      </c>
      <c r="E25" s="211">
        <f>323000+590000+6000</f>
        <v>919000</v>
      </c>
      <c r="F25" s="212">
        <f>229000+6000+387000</f>
        <v>622000</v>
      </c>
      <c r="G25" s="213">
        <f t="shared" si="1"/>
        <v>26.851810729504383</v>
      </c>
      <c r="H25" s="214">
        <f t="shared" si="2"/>
        <v>105.24507558405864</v>
      </c>
      <c r="I25" s="215">
        <f t="shared" si="2"/>
        <v>67.682263329706203</v>
      </c>
    </row>
    <row r="26" spans="1:9" s="216" customFormat="1" ht="22.5" customHeight="1" thickTop="1" thickBot="1" x14ac:dyDescent="0.3">
      <c r="A26" s="157"/>
      <c r="B26" s="217" t="s">
        <v>148</v>
      </c>
      <c r="C26" s="218">
        <v>55738</v>
      </c>
      <c r="D26" s="219">
        <v>60000</v>
      </c>
      <c r="E26" s="220">
        <v>75000</v>
      </c>
      <c r="F26" s="221">
        <v>80000</v>
      </c>
      <c r="G26" s="222">
        <f t="shared" si="1"/>
        <v>134.55811116294089</v>
      </c>
      <c r="H26" s="223">
        <f t="shared" si="2"/>
        <v>125</v>
      </c>
      <c r="I26" s="224">
        <f t="shared" si="2"/>
        <v>106.66666666666667</v>
      </c>
    </row>
    <row r="27" spans="1:9" s="67" customFormat="1" ht="22.5" customHeight="1" thickTop="1" thickBot="1" x14ac:dyDescent="0.3">
      <c r="A27" s="148" t="s">
        <v>149</v>
      </c>
      <c r="B27" s="225" t="s">
        <v>150</v>
      </c>
      <c r="C27" s="150">
        <f>SUM(C28,C41)</f>
        <v>13081912</v>
      </c>
      <c r="D27" s="151">
        <f>D28+D41</f>
        <v>10547000</v>
      </c>
      <c r="E27" s="152">
        <f t="shared" ref="E27:F27" si="5">SUM(E28,E41)</f>
        <v>10769000</v>
      </c>
      <c r="F27" s="153">
        <f t="shared" si="5"/>
        <v>10882000</v>
      </c>
      <c r="G27" s="154">
        <f t="shared" si="1"/>
        <v>82.319770993720184</v>
      </c>
      <c r="H27" s="155">
        <f t="shared" si="2"/>
        <v>102.10486394235328</v>
      </c>
      <c r="I27" s="156">
        <f t="shared" si="2"/>
        <v>101.04930819946141</v>
      </c>
    </row>
    <row r="28" spans="1:9" s="67" customFormat="1" ht="22.5" customHeight="1" thickBot="1" x14ac:dyDescent="0.3">
      <c r="A28" s="226"/>
      <c r="B28" s="158" t="s">
        <v>151</v>
      </c>
      <c r="C28" s="227">
        <f>SUM(C29,C30,C34,C37,C38,C39,C40)</f>
        <v>11907114</v>
      </c>
      <c r="D28" s="228">
        <f>SUM(D29,D30,D34,D37,D38,D39,D40)</f>
        <v>10200000</v>
      </c>
      <c r="E28" s="228">
        <f t="shared" ref="E28:F28" si="6">SUM(E29,E30,E34,E37,E38,E39,E40)</f>
        <v>10426000</v>
      </c>
      <c r="F28" s="161">
        <f t="shared" si="6"/>
        <v>10790000</v>
      </c>
      <c r="G28" s="162">
        <f t="shared" si="1"/>
        <v>87.561100028100853</v>
      </c>
      <c r="H28" s="163">
        <f t="shared" si="2"/>
        <v>102.21568627450981</v>
      </c>
      <c r="I28" s="164">
        <f t="shared" si="2"/>
        <v>103.49127182044889</v>
      </c>
    </row>
    <row r="29" spans="1:9" s="67" customFormat="1" ht="33.75" customHeight="1" thickTop="1" x14ac:dyDescent="0.25">
      <c r="A29" s="157"/>
      <c r="B29" s="229" t="s">
        <v>152</v>
      </c>
      <c r="C29" s="230"/>
      <c r="D29" s="231"/>
      <c r="E29" s="232"/>
      <c r="F29" s="233"/>
      <c r="G29" s="234" t="str">
        <f t="shared" si="1"/>
        <v/>
      </c>
      <c r="H29" s="235" t="str">
        <f t="shared" si="2"/>
        <v/>
      </c>
      <c r="I29" s="236" t="str">
        <f t="shared" si="2"/>
        <v/>
      </c>
    </row>
    <row r="30" spans="1:9" s="67" customFormat="1" ht="20.25" customHeight="1" x14ac:dyDescent="0.25">
      <c r="A30" s="157"/>
      <c r="B30" s="229" t="s">
        <v>153</v>
      </c>
      <c r="C30" s="237">
        <f>SUM(C31:C33)</f>
        <v>7174956</v>
      </c>
      <c r="D30" s="175">
        <f>SUM(D31:D33)</f>
        <v>5423000</v>
      </c>
      <c r="E30" s="168">
        <f t="shared" ref="E30:F30" si="7">SUM(E31:E33)</f>
        <v>5507000</v>
      </c>
      <c r="F30" s="169">
        <f t="shared" si="7"/>
        <v>5351000</v>
      </c>
      <c r="G30" s="170">
        <f t="shared" si="1"/>
        <v>76.753083921350878</v>
      </c>
      <c r="H30" s="171">
        <f t="shared" si="2"/>
        <v>101.54895814125022</v>
      </c>
      <c r="I30" s="172">
        <f t="shared" si="2"/>
        <v>97.167241692391499</v>
      </c>
    </row>
    <row r="31" spans="1:9" s="67" customFormat="1" ht="20.25" customHeight="1" x14ac:dyDescent="0.25">
      <c r="A31" s="157"/>
      <c r="B31" s="173" t="s">
        <v>154</v>
      </c>
      <c r="C31" s="238">
        <v>4811648</v>
      </c>
      <c r="D31" s="239">
        <v>2601000</v>
      </c>
      <c r="E31" s="240">
        <v>2732000</v>
      </c>
      <c r="F31" s="241">
        <v>2838000</v>
      </c>
      <c r="G31" s="185">
        <f t="shared" si="1"/>
        <v>56.778883243329524</v>
      </c>
      <c r="H31" s="186">
        <f t="shared" si="2"/>
        <v>105.03652441368705</v>
      </c>
      <c r="I31" s="187">
        <f t="shared" si="2"/>
        <v>103.87994143484627</v>
      </c>
    </row>
    <row r="32" spans="1:9" s="67" customFormat="1" ht="20.25" customHeight="1" x14ac:dyDescent="0.25">
      <c r="A32" s="157"/>
      <c r="B32" s="173" t="s">
        <v>155</v>
      </c>
      <c r="C32" s="188"/>
      <c r="D32" s="189"/>
      <c r="E32" s="190"/>
      <c r="F32" s="191"/>
      <c r="G32" s="192" t="str">
        <f t="shared" si="1"/>
        <v/>
      </c>
      <c r="H32" s="193" t="str">
        <f t="shared" si="2"/>
        <v/>
      </c>
      <c r="I32" s="194" t="str">
        <f t="shared" si="2"/>
        <v/>
      </c>
    </row>
    <row r="33" spans="1:9" s="67" customFormat="1" ht="20.25" customHeight="1" x14ac:dyDescent="0.25">
      <c r="A33" s="157"/>
      <c r="B33" s="173" t="s">
        <v>156</v>
      </c>
      <c r="C33" s="188">
        <v>2363308</v>
      </c>
      <c r="D33" s="189">
        <v>2822000</v>
      </c>
      <c r="E33" s="190">
        <v>2775000</v>
      </c>
      <c r="F33" s="191">
        <v>2513000</v>
      </c>
      <c r="G33" s="192">
        <f t="shared" si="1"/>
        <v>117.42015852356104</v>
      </c>
      <c r="H33" s="193">
        <f t="shared" si="2"/>
        <v>98.334514528703039</v>
      </c>
      <c r="I33" s="194">
        <f t="shared" si="2"/>
        <v>90.558558558558559</v>
      </c>
    </row>
    <row r="34" spans="1:9" s="67" customFormat="1" ht="20.25" customHeight="1" x14ac:dyDescent="0.25">
      <c r="A34" s="157"/>
      <c r="B34" s="229" t="s">
        <v>157</v>
      </c>
      <c r="C34" s="242">
        <f>SUM(C35:C36)</f>
        <v>3566319</v>
      </c>
      <c r="D34" s="243">
        <f>SUM(D35:D36)</f>
        <v>4122000</v>
      </c>
      <c r="E34" s="243">
        <f t="shared" ref="E34:F34" si="8">SUM(E35:E36)</f>
        <v>4192000</v>
      </c>
      <c r="F34" s="244">
        <f t="shared" si="8"/>
        <v>4784000</v>
      </c>
      <c r="G34" s="199">
        <f t="shared" si="1"/>
        <v>117.54416809040357</v>
      </c>
      <c r="H34" s="200">
        <f t="shared" si="2"/>
        <v>101.6982047549733</v>
      </c>
      <c r="I34" s="201">
        <f t="shared" si="2"/>
        <v>114.12213740458014</v>
      </c>
    </row>
    <row r="35" spans="1:9" s="67" customFormat="1" ht="20.25" customHeight="1" x14ac:dyDescent="0.25">
      <c r="A35" s="157"/>
      <c r="B35" s="173" t="s">
        <v>158</v>
      </c>
      <c r="C35" s="238">
        <v>3022596</v>
      </c>
      <c r="D35" s="239">
        <v>3465000</v>
      </c>
      <c r="E35" s="240">
        <v>3570000</v>
      </c>
      <c r="F35" s="241">
        <v>4050000</v>
      </c>
      <c r="G35" s="185">
        <f t="shared" si="1"/>
        <v>118.1103925235129</v>
      </c>
      <c r="H35" s="186">
        <f t="shared" si="2"/>
        <v>103.03030303030303</v>
      </c>
      <c r="I35" s="187">
        <f t="shared" si="2"/>
        <v>113.4453781512605</v>
      </c>
    </row>
    <row r="36" spans="1:9" s="67" customFormat="1" ht="33.75" customHeight="1" x14ac:dyDescent="0.25">
      <c r="A36" s="157"/>
      <c r="B36" s="173" t="s">
        <v>159</v>
      </c>
      <c r="C36" s="188">
        <v>543723</v>
      </c>
      <c r="D36" s="189">
        <v>657000</v>
      </c>
      <c r="E36" s="190">
        <v>622000</v>
      </c>
      <c r="F36" s="191">
        <v>734000</v>
      </c>
      <c r="G36" s="192">
        <f t="shared" si="1"/>
        <v>114.39648497488611</v>
      </c>
      <c r="H36" s="193">
        <f t="shared" si="2"/>
        <v>94.672754946727551</v>
      </c>
      <c r="I36" s="194">
        <f t="shared" si="2"/>
        <v>118.0064308681672</v>
      </c>
    </row>
    <row r="37" spans="1:9" s="67" customFormat="1" ht="20.25" customHeight="1" x14ac:dyDescent="0.25">
      <c r="A37" s="157"/>
      <c r="B37" s="229" t="s">
        <v>160</v>
      </c>
      <c r="C37" s="245">
        <v>508372</v>
      </c>
      <c r="D37" s="246">
        <v>520000</v>
      </c>
      <c r="E37" s="243">
        <v>520000</v>
      </c>
      <c r="F37" s="244">
        <v>530000</v>
      </c>
      <c r="G37" s="199">
        <f t="shared" si="1"/>
        <v>102.28730142494081</v>
      </c>
      <c r="H37" s="200">
        <f t="shared" si="2"/>
        <v>100</v>
      </c>
      <c r="I37" s="201">
        <f t="shared" si="2"/>
        <v>101.92307692307692</v>
      </c>
    </row>
    <row r="38" spans="1:9" s="67" customFormat="1" ht="33.75" customHeight="1" x14ac:dyDescent="0.25">
      <c r="A38" s="157"/>
      <c r="B38" s="229" t="s">
        <v>161</v>
      </c>
      <c r="C38" s="247">
        <v>43959</v>
      </c>
      <c r="D38" s="176">
        <v>20000</v>
      </c>
      <c r="E38" s="175">
        <v>20000</v>
      </c>
      <c r="F38" s="177">
        <v>20000</v>
      </c>
      <c r="G38" s="178">
        <f t="shared" si="1"/>
        <v>45.496940330762762</v>
      </c>
      <c r="H38" s="179">
        <f t="shared" si="2"/>
        <v>100</v>
      </c>
      <c r="I38" s="180">
        <f t="shared" si="2"/>
        <v>100</v>
      </c>
    </row>
    <row r="39" spans="1:9" s="67" customFormat="1" ht="20.25" customHeight="1" x14ac:dyDescent="0.25">
      <c r="A39" s="157"/>
      <c r="B39" s="229" t="s">
        <v>162</v>
      </c>
      <c r="C39" s="247">
        <v>98487</v>
      </c>
      <c r="D39" s="176">
        <v>25000</v>
      </c>
      <c r="E39" s="175">
        <v>88000</v>
      </c>
      <c r="F39" s="177">
        <v>25000</v>
      </c>
      <c r="G39" s="178">
        <f t="shared" si="1"/>
        <v>89.351894158619913</v>
      </c>
      <c r="H39" s="179">
        <f t="shared" si="2"/>
        <v>352</v>
      </c>
      <c r="I39" s="180">
        <f t="shared" si="2"/>
        <v>28.40909090909091</v>
      </c>
    </row>
    <row r="40" spans="1:9" s="67" customFormat="1" ht="20.25" customHeight="1" thickBot="1" x14ac:dyDescent="0.3">
      <c r="A40" s="157"/>
      <c r="B40" s="229" t="s">
        <v>163</v>
      </c>
      <c r="C40" s="248">
        <v>515021</v>
      </c>
      <c r="D40" s="249">
        <v>90000</v>
      </c>
      <c r="E40" s="250">
        <f>53000+46000</f>
        <v>99000</v>
      </c>
      <c r="F40" s="251">
        <f>44000+36000</f>
        <v>80000</v>
      </c>
      <c r="G40" s="252">
        <f t="shared" si="1"/>
        <v>19.222517140077784</v>
      </c>
      <c r="H40" s="253">
        <f t="shared" si="2"/>
        <v>110.00000000000001</v>
      </c>
      <c r="I40" s="254">
        <f t="shared" si="2"/>
        <v>80.808080808080803</v>
      </c>
    </row>
    <row r="41" spans="1:9" s="216" customFormat="1" ht="20.25" customHeight="1" thickTop="1" x14ac:dyDescent="0.25">
      <c r="A41" s="255"/>
      <c r="B41" s="217" t="s">
        <v>164</v>
      </c>
      <c r="C41" s="230">
        <v>1174798</v>
      </c>
      <c r="D41" s="231">
        <v>347000</v>
      </c>
      <c r="E41" s="232">
        <v>343000</v>
      </c>
      <c r="F41" s="233">
        <v>92000</v>
      </c>
      <c r="G41" s="234">
        <f t="shared" si="1"/>
        <v>29.196508676385218</v>
      </c>
      <c r="H41" s="235">
        <f t="shared" si="2"/>
        <v>98.847262247838614</v>
      </c>
      <c r="I41" s="236">
        <f t="shared" si="2"/>
        <v>26.822157434402332</v>
      </c>
    </row>
    <row r="42" spans="1:9" s="264" customFormat="1" ht="20.25" customHeight="1" x14ac:dyDescent="0.25">
      <c r="A42" s="256" t="s">
        <v>165</v>
      </c>
      <c r="B42" s="257" t="s">
        <v>166</v>
      </c>
      <c r="C42" s="258">
        <f>IF((C9-C27)&gt;0,C9-C27,0)</f>
        <v>800113</v>
      </c>
      <c r="D42" s="259">
        <f>IF((D9-D27)&gt;0,D9-D27,0)</f>
        <v>1357000</v>
      </c>
      <c r="E42" s="259">
        <f>IF((E9-E27)&gt;0,E9-E27,0)</f>
        <v>1634000</v>
      </c>
      <c r="F42" s="260">
        <f>IF((F9-F27)&gt;0,F9-F27,0)</f>
        <v>1799000</v>
      </c>
      <c r="G42" s="261">
        <f t="shared" si="1"/>
        <v>204.22115376203109</v>
      </c>
      <c r="H42" s="262">
        <f t="shared" si="2"/>
        <v>120.41267501842299</v>
      </c>
      <c r="I42" s="263">
        <f t="shared" si="2"/>
        <v>110.09791921664626</v>
      </c>
    </row>
    <row r="43" spans="1:9" s="264" customFormat="1" ht="20.25" customHeight="1" x14ac:dyDescent="0.25">
      <c r="A43" s="256" t="s">
        <v>167</v>
      </c>
      <c r="B43" s="257" t="s">
        <v>168</v>
      </c>
      <c r="C43" s="258">
        <f>IF((C27-C9)&gt;0,C27-C9,0)</f>
        <v>0</v>
      </c>
      <c r="D43" s="259">
        <f>IF((D27-D9)&gt;0,D27-D9,0)</f>
        <v>0</v>
      </c>
      <c r="E43" s="259">
        <f>IF((E27-E9)&gt;0,E27-E9,0)</f>
        <v>0</v>
      </c>
      <c r="F43" s="260">
        <f>IF((F27-F9)&gt;0,F27-F9,0)</f>
        <v>0</v>
      </c>
      <c r="G43" s="261" t="str">
        <f t="shared" si="1"/>
        <v/>
      </c>
      <c r="H43" s="262" t="str">
        <f t="shared" si="2"/>
        <v/>
      </c>
      <c r="I43" s="263" t="str">
        <f t="shared" si="2"/>
        <v/>
      </c>
    </row>
    <row r="44" spans="1:9" s="264" customFormat="1" ht="20.25" customHeight="1" x14ac:dyDescent="0.25">
      <c r="A44" s="256" t="s">
        <v>169</v>
      </c>
      <c r="B44" s="257" t="s">
        <v>170</v>
      </c>
      <c r="C44" s="265">
        <v>63645</v>
      </c>
      <c r="D44" s="266"/>
      <c r="E44" s="267">
        <v>294120</v>
      </c>
      <c r="F44" s="268">
        <v>323820</v>
      </c>
      <c r="G44" s="261">
        <f t="shared" si="1"/>
        <v>462.12585434833846</v>
      </c>
      <c r="H44" s="262" t="str">
        <f t="shared" si="2"/>
        <v/>
      </c>
      <c r="I44" s="263">
        <f t="shared" si="2"/>
        <v>110.09791921664626</v>
      </c>
    </row>
    <row r="45" spans="1:9" s="264" customFormat="1" ht="20.25" customHeight="1" x14ac:dyDescent="0.25">
      <c r="A45" s="256" t="s">
        <v>171</v>
      </c>
      <c r="B45" s="257" t="s">
        <v>172</v>
      </c>
      <c r="C45" s="258">
        <f>IF((C9-C27-C44)&gt;0,C9-C27-C44,0)</f>
        <v>736468</v>
      </c>
      <c r="D45" s="259">
        <f>IF((D9-D27-D44)&gt;0,D9-D27-D44,0)</f>
        <v>1357000</v>
      </c>
      <c r="E45" s="259">
        <f>IF((E9-E27-E44)&gt;0,E9-E27-E44,0)</f>
        <v>1339880</v>
      </c>
      <c r="F45" s="260">
        <f>IF((F9-F27-F44)&gt;0,F9-F27-F44,0)</f>
        <v>1475180</v>
      </c>
      <c r="G45" s="261">
        <f t="shared" si="1"/>
        <v>181.93322724137369</v>
      </c>
      <c r="H45" s="262">
        <f t="shared" si="2"/>
        <v>98.73839351510685</v>
      </c>
      <c r="I45" s="263">
        <f t="shared" si="2"/>
        <v>110.09791921664626</v>
      </c>
    </row>
    <row r="46" spans="1:9" s="264" customFormat="1" ht="20.25" customHeight="1" thickBot="1" x14ac:dyDescent="0.3">
      <c r="A46" s="269" t="s">
        <v>173</v>
      </c>
      <c r="B46" s="270" t="s">
        <v>174</v>
      </c>
      <c r="C46" s="271">
        <f>IF((C27-C9-C44)&gt;0,C27-C9-C44,0)</f>
        <v>0</v>
      </c>
      <c r="D46" s="272"/>
      <c r="E46" s="273">
        <f>IF((E27-E9-E44)&gt;0,E27-E9-E44,0)</f>
        <v>0</v>
      </c>
      <c r="F46" s="274">
        <f>IF((F27-F9-F44)&gt;0,F27-F9-F44,0)</f>
        <v>0</v>
      </c>
      <c r="G46" s="275" t="str">
        <f t="shared" si="1"/>
        <v/>
      </c>
      <c r="H46" s="276" t="str">
        <f t="shared" si="2"/>
        <v/>
      </c>
      <c r="I46" s="277" t="str">
        <f t="shared" si="2"/>
        <v/>
      </c>
    </row>
    <row r="47" spans="1:9" x14ac:dyDescent="0.2">
      <c r="A47" s="542"/>
      <c r="B47" s="542"/>
      <c r="C47" s="542"/>
      <c r="D47" s="542"/>
      <c r="E47" s="542"/>
      <c r="F47" s="542"/>
    </row>
    <row r="48" spans="1:9" ht="18" customHeight="1" x14ac:dyDescent="0.2">
      <c r="A48" s="543"/>
      <c r="B48" s="543"/>
      <c r="C48" s="543"/>
      <c r="D48" s="543"/>
      <c r="E48" s="543"/>
      <c r="F48" s="543"/>
    </row>
  </sheetData>
  <mergeCells count="6">
    <mergeCell ref="A48:F48"/>
    <mergeCell ref="A3:I3"/>
    <mergeCell ref="A6:A7"/>
    <mergeCell ref="B6:B7"/>
    <mergeCell ref="G6:I6"/>
    <mergeCell ref="A47:F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7"/>
  <sheetViews>
    <sheetView workbookViewId="0">
      <selection activeCell="A4" sqref="A4"/>
    </sheetView>
  </sheetViews>
  <sheetFormatPr defaultColWidth="9.140625" defaultRowHeight="12" x14ac:dyDescent="0.2"/>
  <cols>
    <col min="1" max="1" width="5.28515625" style="285" customWidth="1"/>
    <col min="2" max="2" width="3" style="293" customWidth="1"/>
    <col min="3" max="3" width="43.28515625" style="294" customWidth="1"/>
    <col min="4" max="4" width="14.28515625" style="295" customWidth="1"/>
    <col min="5" max="5" width="7.85546875" style="290" customWidth="1"/>
    <col min="6" max="6" width="12.42578125" style="290" customWidth="1"/>
    <col min="7" max="7" width="6.140625" style="290" customWidth="1"/>
    <col min="8" max="8" width="12" style="290" customWidth="1"/>
    <col min="9" max="9" width="6.85546875" style="290" customWidth="1"/>
    <col min="10" max="10" width="14.28515625" style="295" customWidth="1"/>
    <col min="11" max="11" width="6.140625" style="290" customWidth="1"/>
    <col min="12" max="13" width="6.85546875" style="290" customWidth="1"/>
    <col min="14" max="14" width="7.28515625" style="290" customWidth="1"/>
    <col min="15" max="16384" width="9.140625" style="282"/>
  </cols>
  <sheetData>
    <row r="1" spans="1:16" s="278" customFormat="1" ht="21.75" customHeight="1" x14ac:dyDescent="0.25">
      <c r="A1" s="548"/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</row>
    <row r="2" spans="1:16" ht="11.25" hidden="1" customHeight="1" x14ac:dyDescent="0.2">
      <c r="A2" s="279"/>
      <c r="B2" s="280"/>
      <c r="C2" s="280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0"/>
    </row>
    <row r="3" spans="1:16" ht="15.75" x14ac:dyDescent="0.25">
      <c r="A3" s="549" t="s">
        <v>175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284"/>
      <c r="P3" s="284"/>
    </row>
    <row r="4" spans="1:16" ht="15.75" x14ac:dyDescent="0.25">
      <c r="A4" s="778" t="s">
        <v>575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4"/>
      <c r="P4" s="284"/>
    </row>
    <row r="5" spans="1:16" ht="12.75" customHeight="1" x14ac:dyDescent="0.3">
      <c r="B5" s="286"/>
      <c r="C5" s="287"/>
      <c r="D5" s="288"/>
      <c r="E5" s="289"/>
      <c r="F5" s="289"/>
      <c r="G5" s="289"/>
      <c r="H5" s="289"/>
      <c r="I5" s="289"/>
      <c r="J5" s="288"/>
      <c r="N5" s="291" t="s">
        <v>122</v>
      </c>
    </row>
    <row r="6" spans="1:16" ht="14.25" customHeight="1" thickBot="1" x14ac:dyDescent="0.25">
      <c r="A6" s="292"/>
      <c r="E6" s="550"/>
      <c r="F6" s="550"/>
      <c r="G6" s="550"/>
      <c r="H6" s="550"/>
      <c r="I6" s="550"/>
      <c r="J6" s="550"/>
      <c r="N6" s="296" t="s">
        <v>176</v>
      </c>
    </row>
    <row r="7" spans="1:16" s="298" customFormat="1" ht="13.5" customHeight="1" x14ac:dyDescent="0.25">
      <c r="A7" s="551" t="s">
        <v>177</v>
      </c>
      <c r="B7" s="554" t="s">
        <v>178</v>
      </c>
      <c r="C7" s="555"/>
      <c r="D7" s="560" t="s">
        <v>179</v>
      </c>
      <c r="E7" s="560"/>
      <c r="F7" s="560"/>
      <c r="G7" s="560"/>
      <c r="H7" s="560"/>
      <c r="I7" s="560"/>
      <c r="J7" s="560"/>
      <c r="K7" s="561"/>
      <c r="L7" s="562" t="s">
        <v>71</v>
      </c>
      <c r="M7" s="563"/>
      <c r="N7" s="564"/>
      <c r="O7" s="297"/>
    </row>
    <row r="8" spans="1:16" s="298" customFormat="1" ht="38.25" customHeight="1" x14ac:dyDescent="0.25">
      <c r="A8" s="552"/>
      <c r="B8" s="556"/>
      <c r="C8" s="557"/>
      <c r="D8" s="544" t="s">
        <v>180</v>
      </c>
      <c r="E8" s="545"/>
      <c r="F8" s="544" t="s">
        <v>181</v>
      </c>
      <c r="G8" s="568"/>
      <c r="H8" s="544" t="s">
        <v>182</v>
      </c>
      <c r="I8" s="545"/>
      <c r="J8" s="544" t="s">
        <v>183</v>
      </c>
      <c r="K8" s="545"/>
      <c r="L8" s="565"/>
      <c r="M8" s="566"/>
      <c r="N8" s="567"/>
      <c r="O8" s="297"/>
    </row>
    <row r="9" spans="1:16" s="298" customFormat="1" ht="12.75" x14ac:dyDescent="0.25">
      <c r="A9" s="553"/>
      <c r="B9" s="558"/>
      <c r="C9" s="559"/>
      <c r="D9" s="299" t="s">
        <v>184</v>
      </c>
      <c r="E9" s="300" t="s">
        <v>185</v>
      </c>
      <c r="F9" s="300" t="s">
        <v>184</v>
      </c>
      <c r="G9" s="300" t="s">
        <v>185</v>
      </c>
      <c r="H9" s="299" t="s">
        <v>184</v>
      </c>
      <c r="I9" s="300" t="s">
        <v>186</v>
      </c>
      <c r="J9" s="299" t="s">
        <v>184</v>
      </c>
      <c r="K9" s="301" t="s">
        <v>186</v>
      </c>
      <c r="L9" s="302" t="s">
        <v>74</v>
      </c>
      <c r="M9" s="303" t="s">
        <v>75</v>
      </c>
      <c r="N9" s="304" t="s">
        <v>76</v>
      </c>
      <c r="O9" s="297"/>
    </row>
    <row r="10" spans="1:16" s="313" customFormat="1" ht="11.25" customHeight="1" thickBot="1" x14ac:dyDescent="0.3">
      <c r="A10" s="305">
        <v>1</v>
      </c>
      <c r="B10" s="306"/>
      <c r="C10" s="307">
        <v>2</v>
      </c>
      <c r="D10" s="308">
        <v>3</v>
      </c>
      <c r="E10" s="309">
        <v>4</v>
      </c>
      <c r="F10" s="309">
        <v>5</v>
      </c>
      <c r="G10" s="309">
        <v>6</v>
      </c>
      <c r="H10" s="309">
        <v>7</v>
      </c>
      <c r="I10" s="309">
        <v>8</v>
      </c>
      <c r="J10" s="308">
        <v>9</v>
      </c>
      <c r="K10" s="310">
        <v>10</v>
      </c>
      <c r="L10" s="311">
        <v>11</v>
      </c>
      <c r="M10" s="309">
        <v>12</v>
      </c>
      <c r="N10" s="312">
        <v>13</v>
      </c>
    </row>
    <row r="11" spans="1:16" s="278" customFormat="1" ht="20.25" customHeight="1" thickTop="1" x14ac:dyDescent="0.2">
      <c r="A11" s="314"/>
      <c r="B11" s="315"/>
      <c r="C11" s="316" t="s">
        <v>187</v>
      </c>
      <c r="D11" s="546"/>
      <c r="E11" s="546"/>
      <c r="F11" s="317"/>
      <c r="G11" s="317"/>
      <c r="H11" s="317"/>
      <c r="I11" s="317"/>
      <c r="J11" s="546"/>
      <c r="K11" s="547"/>
      <c r="L11" s="318"/>
      <c r="M11" s="319"/>
      <c r="N11" s="320"/>
      <c r="O11" s="321"/>
    </row>
    <row r="12" spans="1:16" s="278" customFormat="1" ht="18" customHeight="1" x14ac:dyDescent="0.25">
      <c r="A12" s="322">
        <v>1</v>
      </c>
      <c r="B12" s="323" t="s">
        <v>188</v>
      </c>
      <c r="C12" s="324" t="s">
        <v>189</v>
      </c>
      <c r="D12" s="325"/>
      <c r="E12" s="326" t="str">
        <f t="shared" ref="E12:E27" si="0">IF(D12=0,"",100*D12/$D$27)</f>
        <v/>
      </c>
      <c r="F12" s="326"/>
      <c r="G12" s="326"/>
      <c r="H12" s="326"/>
      <c r="I12" s="326"/>
      <c r="J12" s="325"/>
      <c r="K12" s="327" t="str">
        <f t="shared" ref="K12" si="1">IF(J12=0,"",100*J12/aktiva1)</f>
        <v/>
      </c>
      <c r="L12" s="328" t="str">
        <f>IF(D12=0," ",IF(((H12/D12)*100)&gt;=1000,"...",H12/D12*100))</f>
        <v xml:space="preserve"> </v>
      </c>
      <c r="M12" s="326" t="str">
        <f>IF(F12=0," ",IF(((H12/F12)*100)&gt;=1000,"...",H12/F12*100))</f>
        <v xml:space="preserve"> </v>
      </c>
      <c r="N12" s="329" t="str">
        <f t="shared" ref="N12:N74" si="2">IF(H12=0," ",IF(((J12/H12)*100)&gt;=1000,"...",J12/H12*100))</f>
        <v xml:space="preserve"> </v>
      </c>
      <c r="O12" s="321"/>
    </row>
    <row r="13" spans="1:16" s="331" customFormat="1" ht="18" customHeight="1" x14ac:dyDescent="0.25">
      <c r="A13" s="322">
        <f>A12+1</f>
        <v>2</v>
      </c>
      <c r="B13" s="323" t="s">
        <v>190</v>
      </c>
      <c r="C13" s="324" t="s">
        <v>191</v>
      </c>
      <c r="D13" s="325"/>
      <c r="E13" s="326" t="str">
        <f t="shared" si="0"/>
        <v/>
      </c>
      <c r="F13" s="326"/>
      <c r="G13" s="326"/>
      <c r="H13" s="326"/>
      <c r="I13" s="326"/>
      <c r="J13" s="325"/>
      <c r="K13" s="327" t="str">
        <f t="shared" ref="K13:K27" si="3">IF(J13=0,"",100*J13/aktiva1)</f>
        <v/>
      </c>
      <c r="L13" s="328" t="str">
        <f t="shared" ref="L13:L74" si="4">IF(D13=0," ",IF(((H13/D13)*100)&gt;=1000,"...",H13/D13*100))</f>
        <v xml:space="preserve"> </v>
      </c>
      <c r="M13" s="326" t="str">
        <f t="shared" ref="M13:M74" si="5">IF(F13=0," ",IF(((H13/F13)*100)&gt;=1000,"...",H13/F13*100))</f>
        <v xml:space="preserve"> </v>
      </c>
      <c r="N13" s="329" t="str">
        <f t="shared" si="2"/>
        <v xml:space="preserve"> </v>
      </c>
      <c r="O13" s="330"/>
    </row>
    <row r="14" spans="1:16" s="278" customFormat="1" ht="18" customHeight="1" x14ac:dyDescent="0.25">
      <c r="A14" s="332">
        <f>A13+1</f>
        <v>3</v>
      </c>
      <c r="B14" s="333"/>
      <c r="C14" s="334" t="s">
        <v>192</v>
      </c>
      <c r="D14" s="335">
        <v>13160</v>
      </c>
      <c r="E14" s="336">
        <f t="shared" si="0"/>
        <v>5.6112663004781E-3</v>
      </c>
      <c r="F14" s="337">
        <v>15000</v>
      </c>
      <c r="G14" s="336">
        <f>F14/$F$27*100</f>
        <v>7.5552217960774912E-3</v>
      </c>
      <c r="H14" s="338">
        <v>56228</v>
      </c>
      <c r="I14" s="336">
        <f>H14/$H$27*100</f>
        <v>2.4115156502810979E-2</v>
      </c>
      <c r="J14" s="339">
        <v>60000</v>
      </c>
      <c r="K14" s="340">
        <f t="shared" si="3"/>
        <v>2.5796428951327052E-2</v>
      </c>
      <c r="L14" s="341">
        <f t="shared" si="4"/>
        <v>427.26443768996961</v>
      </c>
      <c r="M14" s="336">
        <f t="shared" si="5"/>
        <v>374.85333333333335</v>
      </c>
      <c r="N14" s="342">
        <f t="shared" si="2"/>
        <v>106.7084015081454</v>
      </c>
      <c r="O14" s="321"/>
    </row>
    <row r="15" spans="1:16" s="278" customFormat="1" ht="18" customHeight="1" x14ac:dyDescent="0.25">
      <c r="A15" s="332">
        <f>A14+1</f>
        <v>4</v>
      </c>
      <c r="B15" s="333"/>
      <c r="C15" s="334" t="s">
        <v>193</v>
      </c>
      <c r="D15" s="335">
        <v>230939919</v>
      </c>
      <c r="E15" s="336">
        <f t="shared" si="0"/>
        <v>98.470014051659732</v>
      </c>
      <c r="F15" s="337">
        <v>196549156</v>
      </c>
      <c r="G15" s="336">
        <f t="shared" ref="G15:G27" si="6">F15/$F$27*100</f>
        <v>98.998164494122349</v>
      </c>
      <c r="H15" s="338">
        <v>230671693</v>
      </c>
      <c r="I15" s="336">
        <f t="shared" ref="I15:I27" si="7">H15/$H$27*100</f>
        <v>98.930852555014724</v>
      </c>
      <c r="J15" s="339">
        <v>230121693</v>
      </c>
      <c r="K15" s="340">
        <f t="shared" ref="K15" si="8">IF(J15=0,"",100*J15/aktiva1)</f>
        <v>98.938631727226593</v>
      </c>
      <c r="L15" s="341">
        <f t="shared" si="4"/>
        <v>99.883854640132625</v>
      </c>
      <c r="M15" s="336">
        <f t="shared" si="5"/>
        <v>117.36081583581056</v>
      </c>
      <c r="N15" s="342">
        <f t="shared" si="2"/>
        <v>99.76156588923115</v>
      </c>
      <c r="O15" s="321"/>
    </row>
    <row r="16" spans="1:16" s="278" customFormat="1" ht="18" customHeight="1" x14ac:dyDescent="0.25">
      <c r="A16" s="332">
        <f>A15+1</f>
        <v>5</v>
      </c>
      <c r="B16" s="333"/>
      <c r="C16" s="334" t="s">
        <v>194</v>
      </c>
      <c r="D16" s="335">
        <v>128327</v>
      </c>
      <c r="E16" s="336">
        <f t="shared" si="0"/>
        <v>5.4717095025946287E-2</v>
      </c>
      <c r="F16" s="337">
        <v>121509</v>
      </c>
      <c r="G16" s="336">
        <f t="shared" si="6"/>
        <v>6.1201829681305331E-2</v>
      </c>
      <c r="H16" s="338">
        <v>128533</v>
      </c>
      <c r="I16" s="336">
        <f t="shared" si="7"/>
        <v>5.5125443031511054E-2</v>
      </c>
      <c r="J16" s="339">
        <v>128533</v>
      </c>
      <c r="K16" s="340">
        <f t="shared" si="3"/>
        <v>5.5261540040015336E-2</v>
      </c>
      <c r="L16" s="341">
        <f t="shared" si="4"/>
        <v>100.16052740265104</v>
      </c>
      <c r="M16" s="336">
        <f t="shared" si="5"/>
        <v>105.78064176316158</v>
      </c>
      <c r="N16" s="342">
        <f t="shared" si="2"/>
        <v>100</v>
      </c>
    </row>
    <row r="17" spans="1:15" s="278" customFormat="1" ht="18" customHeight="1" x14ac:dyDescent="0.25">
      <c r="A17" s="332">
        <f t="shared" ref="A17:A26" si="9">A16+1</f>
        <v>6</v>
      </c>
      <c r="B17" s="333"/>
      <c r="C17" s="334" t="s">
        <v>195</v>
      </c>
      <c r="D17" s="335">
        <v>4251</v>
      </c>
      <c r="E17" s="336">
        <f t="shared" si="0"/>
        <v>1.8125754592197875E-3</v>
      </c>
      <c r="F17" s="337">
        <v>3500</v>
      </c>
      <c r="G17" s="336">
        <f t="shared" si="6"/>
        <v>1.7628850857514149E-3</v>
      </c>
      <c r="H17" s="338">
        <v>1727</v>
      </c>
      <c r="I17" s="336">
        <f t="shared" si="7"/>
        <v>7.4067858149595505E-4</v>
      </c>
      <c r="J17" s="339">
        <v>4000</v>
      </c>
      <c r="K17" s="340">
        <f t="shared" si="3"/>
        <v>1.7197619300884702E-3</v>
      </c>
      <c r="L17" s="341">
        <f t="shared" si="4"/>
        <v>40.625735121147969</v>
      </c>
      <c r="M17" s="336">
        <f t="shared" si="5"/>
        <v>49.342857142857142</v>
      </c>
      <c r="N17" s="342">
        <f t="shared" si="2"/>
        <v>231.61551823972206</v>
      </c>
    </row>
    <row r="18" spans="1:15" s="354" customFormat="1" ht="18" customHeight="1" thickBot="1" x14ac:dyDescent="0.3">
      <c r="A18" s="343">
        <f t="shared" si="9"/>
        <v>7</v>
      </c>
      <c r="B18" s="344"/>
      <c r="C18" s="345" t="s">
        <v>196</v>
      </c>
      <c r="D18" s="346">
        <v>79765</v>
      </c>
      <c r="E18" s="347">
        <f t="shared" si="0"/>
        <v>3.401084015635529E-2</v>
      </c>
      <c r="F18" s="348">
        <v>89017</v>
      </c>
      <c r="G18" s="347">
        <f t="shared" si="6"/>
        <v>4.4836211908095343E-2</v>
      </c>
      <c r="H18" s="349">
        <v>79765</v>
      </c>
      <c r="I18" s="347">
        <f t="shared" si="7"/>
        <v>3.4209743516516997E-2</v>
      </c>
      <c r="J18" s="350">
        <v>98107</v>
      </c>
      <c r="K18" s="351">
        <f t="shared" si="3"/>
        <v>4.2180170918797388E-2</v>
      </c>
      <c r="L18" s="352">
        <f t="shared" si="4"/>
        <v>100</v>
      </c>
      <c r="M18" s="347">
        <f t="shared" si="5"/>
        <v>89.606479661188303</v>
      </c>
      <c r="N18" s="353">
        <f t="shared" si="2"/>
        <v>122.995047953363</v>
      </c>
    </row>
    <row r="19" spans="1:15" s="364" customFormat="1" ht="18" customHeight="1" thickBot="1" x14ac:dyDescent="0.3">
      <c r="A19" s="355">
        <f t="shared" si="9"/>
        <v>8</v>
      </c>
      <c r="B19" s="356"/>
      <c r="C19" s="357" t="s">
        <v>197</v>
      </c>
      <c r="D19" s="358">
        <f>SUM(D14:D18)</f>
        <v>231165422</v>
      </c>
      <c r="E19" s="359">
        <f t="shared" si="0"/>
        <v>98.566165828601726</v>
      </c>
      <c r="F19" s="360">
        <f>SUM(F14:F18)</f>
        <v>196778182</v>
      </c>
      <c r="G19" s="359">
        <f t="shared" si="6"/>
        <v>99.113520642593585</v>
      </c>
      <c r="H19" s="360">
        <f>SUM(H14:H18)</f>
        <v>230937946</v>
      </c>
      <c r="I19" s="359">
        <f t="shared" si="7"/>
        <v>99.04504357664706</v>
      </c>
      <c r="J19" s="358">
        <f>SUM(J14:J18)</f>
        <v>230412333</v>
      </c>
      <c r="K19" s="361">
        <f t="shared" si="3"/>
        <v>99.063589629066826</v>
      </c>
      <c r="L19" s="362">
        <f t="shared" si="4"/>
        <v>99.901596009458544</v>
      </c>
      <c r="M19" s="359">
        <f t="shared" si="5"/>
        <v>117.35952820216625</v>
      </c>
      <c r="N19" s="363">
        <f t="shared" si="2"/>
        <v>99.772400764316131</v>
      </c>
    </row>
    <row r="20" spans="1:15" s="374" customFormat="1" ht="18" customHeight="1" x14ac:dyDescent="0.25">
      <c r="A20" s="365">
        <f t="shared" si="9"/>
        <v>9</v>
      </c>
      <c r="B20" s="366" t="s">
        <v>198</v>
      </c>
      <c r="C20" s="367" t="s">
        <v>199</v>
      </c>
      <c r="D20" s="368"/>
      <c r="E20" s="369" t="str">
        <f t="shared" si="0"/>
        <v/>
      </c>
      <c r="F20" s="369"/>
      <c r="G20" s="370">
        <f t="shared" si="6"/>
        <v>0</v>
      </c>
      <c r="H20" s="369"/>
      <c r="I20" s="369">
        <f t="shared" si="7"/>
        <v>0</v>
      </c>
      <c r="J20" s="368"/>
      <c r="K20" s="371" t="str">
        <f t="shared" si="3"/>
        <v/>
      </c>
      <c r="L20" s="372" t="str">
        <f t="shared" si="4"/>
        <v xml:space="preserve"> </v>
      </c>
      <c r="M20" s="369" t="str">
        <f t="shared" si="5"/>
        <v xml:space="preserve"> </v>
      </c>
      <c r="N20" s="373" t="str">
        <f t="shared" si="2"/>
        <v xml:space="preserve"> </v>
      </c>
    </row>
    <row r="21" spans="1:15" s="375" customFormat="1" ht="18" customHeight="1" x14ac:dyDescent="0.25">
      <c r="A21" s="332">
        <f t="shared" si="9"/>
        <v>10</v>
      </c>
      <c r="B21" s="333"/>
      <c r="C21" s="334" t="s">
        <v>200</v>
      </c>
      <c r="D21" s="335">
        <v>141292</v>
      </c>
      <c r="E21" s="336">
        <f t="shared" si="0"/>
        <v>6.0245215663157423E-2</v>
      </c>
      <c r="F21" s="337">
        <v>190000</v>
      </c>
      <c r="G21" s="336">
        <f t="shared" si="6"/>
        <v>9.5699476083648233E-2</v>
      </c>
      <c r="H21" s="338">
        <v>258557</v>
      </c>
      <c r="I21" s="336">
        <f t="shared" si="7"/>
        <v>0.11089034857895173</v>
      </c>
      <c r="J21" s="339">
        <v>328000</v>
      </c>
      <c r="K21" s="340">
        <f t="shared" si="3"/>
        <v>0.14102047826725456</v>
      </c>
      <c r="L21" s="341">
        <f t="shared" si="4"/>
        <v>182.99479092942275</v>
      </c>
      <c r="M21" s="336">
        <f t="shared" si="5"/>
        <v>136.08263157894737</v>
      </c>
      <c r="N21" s="342">
        <f t="shared" si="2"/>
        <v>126.85790754069701</v>
      </c>
    </row>
    <row r="22" spans="1:15" s="278" customFormat="1" ht="18" customHeight="1" x14ac:dyDescent="0.25">
      <c r="A22" s="332">
        <f t="shared" si="9"/>
        <v>11</v>
      </c>
      <c r="B22" s="333"/>
      <c r="C22" s="334" t="s">
        <v>195</v>
      </c>
      <c r="D22" s="335">
        <f>657101+1084276+54144</f>
        <v>1795521</v>
      </c>
      <c r="E22" s="336">
        <f t="shared" si="0"/>
        <v>0.76558863822953938</v>
      </c>
      <c r="F22" s="337">
        <v>1000000</v>
      </c>
      <c r="G22" s="336">
        <f t="shared" si="6"/>
        <v>0.50368145307183287</v>
      </c>
      <c r="H22" s="338">
        <v>1162917</v>
      </c>
      <c r="I22" s="336">
        <f t="shared" si="7"/>
        <v>0.49875374288218394</v>
      </c>
      <c r="J22" s="339">
        <v>850000</v>
      </c>
      <c r="K22" s="340">
        <f t="shared" si="3"/>
        <v>0.36544941014379989</v>
      </c>
      <c r="L22" s="341">
        <f t="shared" si="4"/>
        <v>64.767663536098993</v>
      </c>
      <c r="M22" s="336">
        <f t="shared" si="5"/>
        <v>116.29169999999999</v>
      </c>
      <c r="N22" s="342">
        <f t="shared" si="2"/>
        <v>73.092060740362385</v>
      </c>
    </row>
    <row r="23" spans="1:15" s="379" customFormat="1" ht="18" customHeight="1" x14ac:dyDescent="0.25">
      <c r="A23" s="332">
        <f t="shared" si="9"/>
        <v>12</v>
      </c>
      <c r="B23" s="333"/>
      <c r="C23" s="334" t="s">
        <v>201</v>
      </c>
      <c r="D23" s="376">
        <v>52273</v>
      </c>
      <c r="E23" s="336">
        <f t="shared" si="0"/>
        <v>2.228858079976381E-2</v>
      </c>
      <c r="F23" s="337"/>
      <c r="G23" s="336">
        <f t="shared" si="6"/>
        <v>0</v>
      </c>
      <c r="H23" s="377"/>
      <c r="I23" s="336">
        <f t="shared" si="7"/>
        <v>0</v>
      </c>
      <c r="J23" s="378"/>
      <c r="K23" s="340" t="str">
        <f t="shared" si="3"/>
        <v/>
      </c>
      <c r="L23" s="341">
        <f t="shared" si="4"/>
        <v>0</v>
      </c>
      <c r="M23" s="336" t="str">
        <f t="shared" si="5"/>
        <v xml:space="preserve"> </v>
      </c>
      <c r="N23" s="342" t="str">
        <f t="shared" si="2"/>
        <v xml:space="preserve"> </v>
      </c>
    </row>
    <row r="24" spans="1:15" s="387" customFormat="1" ht="18" customHeight="1" thickBot="1" x14ac:dyDescent="0.3">
      <c r="A24" s="343">
        <f t="shared" si="9"/>
        <v>13</v>
      </c>
      <c r="B24" s="380"/>
      <c r="C24" s="345" t="s">
        <v>202</v>
      </c>
      <c r="D24" s="381">
        <v>1247548</v>
      </c>
      <c r="E24" s="382">
        <f t="shared" si="0"/>
        <v>0.5319395175249888</v>
      </c>
      <c r="F24" s="383">
        <v>500000</v>
      </c>
      <c r="G24" s="347">
        <f t="shared" si="6"/>
        <v>0.25184072653591644</v>
      </c>
      <c r="H24" s="350">
        <v>805146</v>
      </c>
      <c r="I24" s="382">
        <f t="shared" si="7"/>
        <v>0.3453123318918021</v>
      </c>
      <c r="J24" s="350">
        <v>1000000</v>
      </c>
      <c r="K24" s="384">
        <f t="shared" si="3"/>
        <v>0.42994048252211753</v>
      </c>
      <c r="L24" s="385">
        <f t="shared" si="4"/>
        <v>64.538278286687174</v>
      </c>
      <c r="M24" s="382">
        <f t="shared" si="5"/>
        <v>161.0292</v>
      </c>
      <c r="N24" s="386">
        <f t="shared" si="2"/>
        <v>124.20107657493176</v>
      </c>
    </row>
    <row r="25" spans="1:15" s="364" customFormat="1" ht="18" customHeight="1" thickBot="1" x14ac:dyDescent="0.3">
      <c r="A25" s="355">
        <f t="shared" si="9"/>
        <v>14</v>
      </c>
      <c r="B25" s="356"/>
      <c r="C25" s="357" t="s">
        <v>203</v>
      </c>
      <c r="D25" s="358">
        <f>SUM(D21:D24)</f>
        <v>3236634</v>
      </c>
      <c r="E25" s="359">
        <f t="shared" si="0"/>
        <v>1.3800619522174495</v>
      </c>
      <c r="F25" s="360">
        <f>SUM(F21:F24)</f>
        <v>1690000</v>
      </c>
      <c r="G25" s="359">
        <f t="shared" si="6"/>
        <v>0.85122165569139741</v>
      </c>
      <c r="H25" s="360">
        <f>SUM(H21:H24)</f>
        <v>2226620</v>
      </c>
      <c r="I25" s="359">
        <f t="shared" si="7"/>
        <v>0.95495642335293784</v>
      </c>
      <c r="J25" s="358">
        <f>SUM(J21:J24)</f>
        <v>2178000</v>
      </c>
      <c r="K25" s="361">
        <f t="shared" si="3"/>
        <v>0.93641037093317203</v>
      </c>
      <c r="L25" s="362">
        <f t="shared" si="4"/>
        <v>68.794309149567113</v>
      </c>
      <c r="M25" s="359">
        <f t="shared" si="5"/>
        <v>131.7526627218935</v>
      </c>
      <c r="N25" s="363">
        <f t="shared" si="2"/>
        <v>97.816421302242858</v>
      </c>
    </row>
    <row r="26" spans="1:15" s="364" customFormat="1" ht="25.5" customHeight="1" thickBot="1" x14ac:dyDescent="0.3">
      <c r="A26" s="388">
        <f t="shared" si="9"/>
        <v>15</v>
      </c>
      <c r="B26" s="389" t="s">
        <v>204</v>
      </c>
      <c r="C26" s="357" t="s">
        <v>205</v>
      </c>
      <c r="D26" s="390">
        <v>126111</v>
      </c>
      <c r="E26" s="359">
        <f t="shared" si="0"/>
        <v>5.3772219180820188E-2</v>
      </c>
      <c r="F26" s="360">
        <v>70000</v>
      </c>
      <c r="G26" s="391">
        <f t="shared" si="6"/>
        <v>3.5257701715028296E-2</v>
      </c>
      <c r="H26" s="392"/>
      <c r="I26" s="393">
        <f t="shared" si="7"/>
        <v>0</v>
      </c>
      <c r="J26" s="394"/>
      <c r="K26" s="361"/>
      <c r="L26" s="395">
        <f t="shared" si="4"/>
        <v>0</v>
      </c>
      <c r="M26" s="396">
        <f t="shared" si="5"/>
        <v>0</v>
      </c>
      <c r="N26" s="397" t="str">
        <f t="shared" si="2"/>
        <v xml:space="preserve"> </v>
      </c>
    </row>
    <row r="27" spans="1:15" s="364" customFormat="1" ht="18" customHeight="1" thickBot="1" x14ac:dyDescent="0.3">
      <c r="A27" s="398"/>
      <c r="B27" s="399" t="s">
        <v>206</v>
      </c>
      <c r="C27" s="400" t="s">
        <v>207</v>
      </c>
      <c r="D27" s="401">
        <f>SUM(D12,D19,D25,D26)</f>
        <v>234528167</v>
      </c>
      <c r="E27" s="359">
        <f t="shared" si="0"/>
        <v>100</v>
      </c>
      <c r="F27" s="401">
        <f>SUM(F12,F19,F25,F26)</f>
        <v>198538182</v>
      </c>
      <c r="G27" s="359">
        <f t="shared" si="6"/>
        <v>100</v>
      </c>
      <c r="H27" s="401">
        <f>SUM(H12,H19,H25,H26)</f>
        <v>233164566</v>
      </c>
      <c r="I27" s="402">
        <f t="shared" si="7"/>
        <v>100</v>
      </c>
      <c r="J27" s="401">
        <f>SUM(J12,J19,J25,J26)</f>
        <v>232590333</v>
      </c>
      <c r="K27" s="403">
        <f t="shared" si="3"/>
        <v>100</v>
      </c>
      <c r="L27" s="404">
        <f t="shared" si="4"/>
        <v>99.4185768739667</v>
      </c>
      <c r="M27" s="402">
        <f t="shared" si="5"/>
        <v>117.44066740774326</v>
      </c>
      <c r="N27" s="405">
        <f t="shared" si="2"/>
        <v>99.753722012803621</v>
      </c>
    </row>
    <row r="28" spans="1:15" s="364" customFormat="1" ht="18" customHeight="1" thickTop="1" thickBot="1" x14ac:dyDescent="0.3">
      <c r="A28" s="406"/>
      <c r="B28" s="407" t="s">
        <v>208</v>
      </c>
      <c r="C28" s="408" t="s">
        <v>209</v>
      </c>
      <c r="D28" s="409">
        <v>22018413</v>
      </c>
      <c r="E28" s="410"/>
      <c r="F28" s="409">
        <v>22900000</v>
      </c>
      <c r="G28" s="410"/>
      <c r="H28" s="411">
        <v>22773206</v>
      </c>
      <c r="I28" s="412"/>
      <c r="J28" s="411">
        <v>22800000</v>
      </c>
      <c r="K28" s="413"/>
      <c r="L28" s="414">
        <f t="shared" si="4"/>
        <v>103.4280081856944</v>
      </c>
      <c r="M28" s="410">
        <f t="shared" si="5"/>
        <v>99.446314410480355</v>
      </c>
      <c r="N28" s="415">
        <f t="shared" si="2"/>
        <v>100.11765581007785</v>
      </c>
    </row>
    <row r="29" spans="1:15" s="364" customFormat="1" ht="19.5" customHeight="1" thickTop="1" x14ac:dyDescent="0.25">
      <c r="A29" s="416"/>
      <c r="B29" s="417"/>
      <c r="C29" s="418"/>
      <c r="D29" s="419"/>
      <c r="E29" s="420"/>
      <c r="F29" s="420"/>
      <c r="G29" s="420"/>
      <c r="H29" s="420"/>
      <c r="I29" s="420"/>
      <c r="J29" s="419"/>
      <c r="K29" s="420"/>
      <c r="L29" s="420"/>
      <c r="M29" s="420"/>
      <c r="N29" s="420"/>
    </row>
    <row r="30" spans="1:15" s="364" customFormat="1" ht="20.25" customHeight="1" thickBot="1" x14ac:dyDescent="0.3">
      <c r="A30" s="421" t="s">
        <v>210</v>
      </c>
      <c r="B30" s="422"/>
      <c r="C30" s="423"/>
      <c r="D30" s="424"/>
      <c r="E30" s="425"/>
      <c r="F30" s="425"/>
      <c r="G30" s="425"/>
      <c r="H30" s="425"/>
      <c r="I30" s="425"/>
      <c r="J30" s="424"/>
      <c r="K30" s="425"/>
      <c r="L30" s="425"/>
      <c r="M30" s="425"/>
      <c r="N30" s="425"/>
    </row>
    <row r="31" spans="1:15" s="278" customFormat="1" ht="20.25" customHeight="1" thickTop="1" x14ac:dyDescent="0.2">
      <c r="A31" s="426"/>
      <c r="B31" s="427"/>
      <c r="C31" s="428" t="s">
        <v>211</v>
      </c>
      <c r="D31" s="546"/>
      <c r="E31" s="546"/>
      <c r="F31" s="317"/>
      <c r="G31" s="317"/>
      <c r="H31" s="317"/>
      <c r="I31" s="317"/>
      <c r="J31" s="546"/>
      <c r="K31" s="547"/>
      <c r="L31" s="429" t="str">
        <f t="shared" si="4"/>
        <v xml:space="preserve"> </v>
      </c>
      <c r="M31" s="430" t="str">
        <f t="shared" si="5"/>
        <v xml:space="preserve"> </v>
      </c>
      <c r="N31" s="431" t="str">
        <f t="shared" si="2"/>
        <v xml:space="preserve"> </v>
      </c>
      <c r="O31" s="321"/>
    </row>
    <row r="32" spans="1:15" s="331" customFormat="1" ht="18" customHeight="1" x14ac:dyDescent="0.25">
      <c r="A32" s="322">
        <v>1</v>
      </c>
      <c r="B32" s="323" t="s">
        <v>188</v>
      </c>
      <c r="C32" s="432" t="s">
        <v>212</v>
      </c>
      <c r="D32" s="325"/>
      <c r="E32" s="326" t="str">
        <f t="shared" ref="E32:E67" si="10">IF(D32=0,"",100*D32/$D$73)</f>
        <v/>
      </c>
      <c r="F32" s="326"/>
      <c r="G32" s="326"/>
      <c r="H32" s="326"/>
      <c r="I32" s="326"/>
      <c r="J32" s="325"/>
      <c r="K32" s="327" t="str">
        <f t="shared" ref="K32:K73" si="11">IF(J32=0,"",100*J32/pasiva1)</f>
        <v/>
      </c>
      <c r="L32" s="328" t="str">
        <f t="shared" si="4"/>
        <v xml:space="preserve"> </v>
      </c>
      <c r="M32" s="326" t="str">
        <f t="shared" si="5"/>
        <v xml:space="preserve"> </v>
      </c>
      <c r="N32" s="329" t="str">
        <f t="shared" si="2"/>
        <v xml:space="preserve"> </v>
      </c>
      <c r="O32" s="330"/>
    </row>
    <row r="33" spans="1:15" s="379" customFormat="1" ht="18" customHeight="1" x14ac:dyDescent="0.25">
      <c r="A33" s="332">
        <f>A32+1</f>
        <v>2</v>
      </c>
      <c r="B33" s="333"/>
      <c r="C33" s="334" t="s">
        <v>213</v>
      </c>
      <c r="D33" s="335">
        <v>74356839</v>
      </c>
      <c r="E33" s="336">
        <f t="shared" si="10"/>
        <v>31.704865113280828</v>
      </c>
      <c r="F33" s="337">
        <v>74356839</v>
      </c>
      <c r="G33" s="336">
        <f>F33/$F$73*100</f>
        <v>37.452160713348327</v>
      </c>
      <c r="H33" s="338">
        <v>78856830</v>
      </c>
      <c r="I33" s="336">
        <f>H33/$H$73*100</f>
        <v>33.820246083189161</v>
      </c>
      <c r="J33" s="338">
        <v>78856830</v>
      </c>
      <c r="K33" s="340">
        <f t="shared" si="11"/>
        <v>33.903743540364594</v>
      </c>
      <c r="L33" s="341">
        <f t="shared" si="4"/>
        <v>106.05188582586196</v>
      </c>
      <c r="M33" s="336">
        <f t="shared" si="5"/>
        <v>106.05188582586196</v>
      </c>
      <c r="N33" s="342">
        <f t="shared" si="2"/>
        <v>100</v>
      </c>
      <c r="O33" s="433"/>
    </row>
    <row r="34" spans="1:15" s="278" customFormat="1" ht="18" customHeight="1" x14ac:dyDescent="0.25">
      <c r="A34" s="332">
        <f t="shared" ref="A34:A72" si="12">A33+1</f>
        <v>3</v>
      </c>
      <c r="B34" s="333"/>
      <c r="C34" s="334" t="s">
        <v>214</v>
      </c>
      <c r="D34" s="335"/>
      <c r="E34" s="336" t="str">
        <f t="shared" si="10"/>
        <v/>
      </c>
      <c r="F34" s="337"/>
      <c r="G34" s="336">
        <f t="shared" ref="G34:G73" si="13">F34/$F$73*100</f>
        <v>0</v>
      </c>
      <c r="H34" s="377"/>
      <c r="I34" s="336"/>
      <c r="J34" s="377"/>
      <c r="K34" s="340" t="str">
        <f t="shared" si="11"/>
        <v/>
      </c>
      <c r="L34" s="341" t="str">
        <f t="shared" si="4"/>
        <v xml:space="preserve"> </v>
      </c>
      <c r="M34" s="336" t="str">
        <f t="shared" si="5"/>
        <v xml:space="preserve"> </v>
      </c>
      <c r="N34" s="342" t="str">
        <f t="shared" si="2"/>
        <v xml:space="preserve"> </v>
      </c>
      <c r="O34" s="321"/>
    </row>
    <row r="35" spans="1:15" s="278" customFormat="1" ht="18" customHeight="1" x14ac:dyDescent="0.25">
      <c r="A35" s="332">
        <f t="shared" si="12"/>
        <v>4</v>
      </c>
      <c r="B35" s="333"/>
      <c r="C35" s="334" t="s">
        <v>215</v>
      </c>
      <c r="D35" s="335"/>
      <c r="E35" s="336" t="str">
        <f t="shared" si="10"/>
        <v/>
      </c>
      <c r="F35" s="337"/>
      <c r="G35" s="336">
        <f t="shared" si="13"/>
        <v>0</v>
      </c>
      <c r="H35" s="377"/>
      <c r="I35" s="336"/>
      <c r="J35" s="377"/>
      <c r="K35" s="340" t="str">
        <f t="shared" ref="K35" si="14">IF(J35=0,"",100*J35/pasiva1)</f>
        <v/>
      </c>
      <c r="L35" s="341" t="str">
        <f t="shared" si="4"/>
        <v xml:space="preserve"> </v>
      </c>
      <c r="M35" s="336" t="str">
        <f t="shared" si="5"/>
        <v xml:space="preserve"> </v>
      </c>
      <c r="N35" s="342" t="str">
        <f t="shared" si="2"/>
        <v xml:space="preserve"> </v>
      </c>
      <c r="O35" s="321"/>
    </row>
    <row r="36" spans="1:15" s="278" customFormat="1" ht="18" customHeight="1" x14ac:dyDescent="0.25">
      <c r="A36" s="332">
        <f t="shared" si="12"/>
        <v>5</v>
      </c>
      <c r="B36" s="333"/>
      <c r="C36" s="334" t="s">
        <v>216</v>
      </c>
      <c r="D36" s="335">
        <v>121764730</v>
      </c>
      <c r="E36" s="336">
        <f t="shared" si="10"/>
        <v>51.919021735244279</v>
      </c>
      <c r="F36" s="337">
        <v>93313457</v>
      </c>
      <c r="G36" s="336">
        <f t="shared" si="13"/>
        <v>47.000257612915988</v>
      </c>
      <c r="H36" s="338">
        <v>121763730</v>
      </c>
      <c r="I36" s="336">
        <f t="shared" ref="I36:I73" si="15">H36/$H$73*100</f>
        <v>52.222227454578153</v>
      </c>
      <c r="J36" s="338">
        <v>121763730</v>
      </c>
      <c r="K36" s="340">
        <f t="shared" si="11"/>
        <v>52.351156829892837</v>
      </c>
      <c r="L36" s="341">
        <f t="shared" si="4"/>
        <v>99.999178744124023</v>
      </c>
      <c r="M36" s="336">
        <f t="shared" si="5"/>
        <v>130.48892830109168</v>
      </c>
      <c r="N36" s="342">
        <f t="shared" si="2"/>
        <v>100</v>
      </c>
      <c r="O36" s="321"/>
    </row>
    <row r="37" spans="1:15" s="278" customFormat="1" ht="18" customHeight="1" x14ac:dyDescent="0.25">
      <c r="A37" s="332">
        <f t="shared" si="12"/>
        <v>6</v>
      </c>
      <c r="B37" s="333"/>
      <c r="C37" s="334" t="s">
        <v>217</v>
      </c>
      <c r="D37" s="335"/>
      <c r="E37" s="336" t="str">
        <f t="shared" si="10"/>
        <v/>
      </c>
      <c r="F37" s="337"/>
      <c r="G37" s="336">
        <f t="shared" si="13"/>
        <v>0</v>
      </c>
      <c r="H37" s="377"/>
      <c r="I37" s="336">
        <f t="shared" si="15"/>
        <v>0</v>
      </c>
      <c r="J37" s="434"/>
      <c r="K37" s="340" t="str">
        <f t="shared" ref="K37:K38" si="16">IF(J37=0,"",100*J37/pasiva1)</f>
        <v/>
      </c>
      <c r="L37" s="341" t="str">
        <f t="shared" si="4"/>
        <v xml:space="preserve"> </v>
      </c>
      <c r="M37" s="336" t="str">
        <f t="shared" si="5"/>
        <v xml:space="preserve"> </v>
      </c>
      <c r="N37" s="342" t="str">
        <f t="shared" si="2"/>
        <v xml:space="preserve"> </v>
      </c>
      <c r="O37" s="321"/>
    </row>
    <row r="38" spans="1:15" s="278" customFormat="1" ht="18" customHeight="1" x14ac:dyDescent="0.25">
      <c r="A38" s="332">
        <f t="shared" si="12"/>
        <v>7</v>
      </c>
      <c r="B38" s="333"/>
      <c r="C38" s="334" t="s">
        <v>218</v>
      </c>
      <c r="D38" s="335">
        <v>-4623186</v>
      </c>
      <c r="E38" s="336">
        <f t="shared" si="10"/>
        <v>-1.9712711096232634</v>
      </c>
      <c r="F38" s="337">
        <v>-4319114</v>
      </c>
      <c r="G38" s="336">
        <f t="shared" si="13"/>
        <v>-2.175457615502896</v>
      </c>
      <c r="H38" s="338">
        <v>-3886717</v>
      </c>
      <c r="I38" s="336">
        <f t="shared" si="15"/>
        <v>-1.6669415369057405</v>
      </c>
      <c r="J38" s="339">
        <v>-2546837</v>
      </c>
      <c r="K38" s="340">
        <f t="shared" si="16"/>
        <v>-1.0949883286851823</v>
      </c>
      <c r="L38" s="341">
        <f t="shared" si="4"/>
        <v>84.070097980050988</v>
      </c>
      <c r="M38" s="336">
        <f t="shared" si="5"/>
        <v>89.988756953393676</v>
      </c>
      <c r="N38" s="342">
        <f t="shared" si="2"/>
        <v>65.526690005987049</v>
      </c>
      <c r="O38" s="321"/>
    </row>
    <row r="39" spans="1:15" s="278" customFormat="1" ht="18" customHeight="1" x14ac:dyDescent="0.25">
      <c r="A39" s="332">
        <f t="shared" si="12"/>
        <v>8</v>
      </c>
      <c r="B39" s="333"/>
      <c r="C39" s="334" t="s">
        <v>219</v>
      </c>
      <c r="D39" s="335">
        <v>736468</v>
      </c>
      <c r="E39" s="336">
        <f t="shared" si="10"/>
        <v>0.31402112992253078</v>
      </c>
      <c r="F39" s="337">
        <v>1352000</v>
      </c>
      <c r="G39" s="336">
        <f t="shared" si="13"/>
        <v>0.68097732455311799</v>
      </c>
      <c r="H39" s="338">
        <v>1339880</v>
      </c>
      <c r="I39" s="336">
        <f t="shared" si="15"/>
        <v>0.57464992343647958</v>
      </c>
      <c r="J39" s="339">
        <v>1475180</v>
      </c>
      <c r="K39" s="340">
        <f t="shared" si="11"/>
        <v>0.6342396010069774</v>
      </c>
      <c r="L39" s="341">
        <f t="shared" si="4"/>
        <v>181.93322724137369</v>
      </c>
      <c r="M39" s="336">
        <f t="shared" si="5"/>
        <v>99.103550295857985</v>
      </c>
      <c r="N39" s="342">
        <f t="shared" si="2"/>
        <v>110.09791921664626</v>
      </c>
      <c r="O39" s="321"/>
    </row>
    <row r="40" spans="1:15" s="278" customFormat="1" ht="18" customHeight="1" thickBot="1" x14ac:dyDescent="0.3">
      <c r="A40" s="343">
        <f t="shared" si="12"/>
        <v>9</v>
      </c>
      <c r="B40" s="344"/>
      <c r="C40" s="345" t="s">
        <v>220</v>
      </c>
      <c r="D40" s="435"/>
      <c r="E40" s="347" t="str">
        <f t="shared" si="10"/>
        <v/>
      </c>
      <c r="F40" s="348"/>
      <c r="G40" s="347">
        <f t="shared" si="13"/>
        <v>0</v>
      </c>
      <c r="H40" s="347"/>
      <c r="I40" s="347">
        <f t="shared" si="15"/>
        <v>0</v>
      </c>
      <c r="J40" s="435"/>
      <c r="K40" s="351" t="str">
        <f t="shared" ref="K40" si="17">IF(J40=0,"",100*J40/pasiva1)</f>
        <v/>
      </c>
      <c r="L40" s="352" t="str">
        <f t="shared" si="4"/>
        <v xml:space="preserve"> </v>
      </c>
      <c r="M40" s="347" t="str">
        <f t="shared" si="5"/>
        <v xml:space="preserve"> </v>
      </c>
      <c r="N40" s="353" t="str">
        <f t="shared" si="2"/>
        <v xml:space="preserve"> </v>
      </c>
      <c r="O40" s="321"/>
    </row>
    <row r="41" spans="1:15" s="374" customFormat="1" ht="18" customHeight="1" thickBot="1" x14ac:dyDescent="0.3">
      <c r="A41" s="355">
        <f t="shared" si="12"/>
        <v>10</v>
      </c>
      <c r="B41" s="436"/>
      <c r="C41" s="437" t="s">
        <v>221</v>
      </c>
      <c r="D41" s="438">
        <f>SUM(D33:D39)</f>
        <v>192234851</v>
      </c>
      <c r="E41" s="439">
        <f t="shared" si="10"/>
        <v>81.966636868824381</v>
      </c>
      <c r="F41" s="440">
        <f>SUM(F33:F39)</f>
        <v>164703182</v>
      </c>
      <c r="G41" s="439">
        <f t="shared" si="13"/>
        <v>82.957938035314541</v>
      </c>
      <c r="H41" s="440">
        <f>SUM(H33:H39)</f>
        <v>198073723</v>
      </c>
      <c r="I41" s="439">
        <f t="shared" si="15"/>
        <v>84.95018192429805</v>
      </c>
      <c r="J41" s="438">
        <f>SUM(J33:J40)</f>
        <v>199548903</v>
      </c>
      <c r="K41" s="441">
        <f t="shared" si="11"/>
        <v>85.794151642579223</v>
      </c>
      <c r="L41" s="442">
        <f t="shared" si="4"/>
        <v>103.03736391691017</v>
      </c>
      <c r="M41" s="439">
        <f t="shared" si="5"/>
        <v>120.26101778652946</v>
      </c>
      <c r="N41" s="443">
        <f t="shared" si="2"/>
        <v>100.74476310015135</v>
      </c>
    </row>
    <row r="42" spans="1:15" s="374" customFormat="1" ht="18" customHeight="1" thickBot="1" x14ac:dyDescent="0.3">
      <c r="A42" s="355">
        <f t="shared" si="12"/>
        <v>11</v>
      </c>
      <c r="B42" s="436" t="s">
        <v>190</v>
      </c>
      <c r="C42" s="437" t="s">
        <v>222</v>
      </c>
      <c r="D42" s="438">
        <v>1235621</v>
      </c>
      <c r="E42" s="439">
        <f t="shared" si="10"/>
        <v>0.52685398764916791</v>
      </c>
      <c r="F42" s="440">
        <v>1300000</v>
      </c>
      <c r="G42" s="439">
        <f t="shared" si="13"/>
        <v>0.65478588899338264</v>
      </c>
      <c r="H42" s="444">
        <v>1235621</v>
      </c>
      <c r="I42" s="439">
        <f t="shared" si="15"/>
        <v>0.52993515318275242</v>
      </c>
      <c r="J42" s="445"/>
      <c r="K42" s="441" t="str">
        <f t="shared" ref="K42" si="18">IF(J42=0,"",100*J42/pasiva1)</f>
        <v/>
      </c>
      <c r="L42" s="442">
        <f t="shared" si="4"/>
        <v>100</v>
      </c>
      <c r="M42" s="439">
        <f t="shared" si="5"/>
        <v>95.047769230769234</v>
      </c>
      <c r="N42" s="443">
        <f t="shared" si="2"/>
        <v>0</v>
      </c>
    </row>
    <row r="43" spans="1:15" s="455" customFormat="1" ht="18" customHeight="1" x14ac:dyDescent="0.25">
      <c r="A43" s="446">
        <f t="shared" si="12"/>
        <v>12</v>
      </c>
      <c r="B43" s="447" t="s">
        <v>198</v>
      </c>
      <c r="C43" s="448" t="s">
        <v>223</v>
      </c>
      <c r="D43" s="449"/>
      <c r="E43" s="450" t="str">
        <f t="shared" si="10"/>
        <v/>
      </c>
      <c r="F43" s="450"/>
      <c r="G43" s="370">
        <f t="shared" si="13"/>
        <v>0</v>
      </c>
      <c r="H43" s="450"/>
      <c r="I43" s="450">
        <f t="shared" si="15"/>
        <v>0</v>
      </c>
      <c r="J43" s="449"/>
      <c r="K43" s="451" t="str">
        <f t="shared" si="11"/>
        <v/>
      </c>
      <c r="L43" s="452" t="str">
        <f t="shared" si="4"/>
        <v xml:space="preserve"> </v>
      </c>
      <c r="M43" s="450" t="str">
        <f t="shared" si="5"/>
        <v xml:space="preserve"> </v>
      </c>
      <c r="N43" s="453" t="str">
        <f t="shared" si="2"/>
        <v xml:space="preserve"> </v>
      </c>
      <c r="O43" s="454"/>
    </row>
    <row r="44" spans="1:15" s="278" customFormat="1" ht="18" customHeight="1" x14ac:dyDescent="0.25">
      <c r="A44" s="332">
        <f t="shared" si="12"/>
        <v>13</v>
      </c>
      <c r="B44" s="333"/>
      <c r="C44" s="334" t="s">
        <v>224</v>
      </c>
      <c r="D44" s="335">
        <v>1905923</v>
      </c>
      <c r="E44" s="336">
        <f t="shared" si="10"/>
        <v>0.81266272805517636</v>
      </c>
      <c r="F44" s="337">
        <v>1372266</v>
      </c>
      <c r="G44" s="336">
        <f t="shared" si="13"/>
        <v>0.69118493288107163</v>
      </c>
      <c r="H44" s="377">
        <v>0</v>
      </c>
      <c r="I44" s="336">
        <f t="shared" si="15"/>
        <v>0</v>
      </c>
      <c r="J44" s="339">
        <v>686133</v>
      </c>
      <c r="K44" s="340">
        <f t="shared" si="11"/>
        <v>0.29499635309434807</v>
      </c>
      <c r="L44" s="341">
        <f t="shared" si="4"/>
        <v>0</v>
      </c>
      <c r="M44" s="336">
        <f t="shared" si="5"/>
        <v>0</v>
      </c>
      <c r="N44" s="342" t="str">
        <f t="shared" si="2"/>
        <v xml:space="preserve"> </v>
      </c>
      <c r="O44" s="321"/>
    </row>
    <row r="45" spans="1:15" s="278" customFormat="1" ht="24" x14ac:dyDescent="0.25">
      <c r="A45" s="332">
        <f t="shared" si="12"/>
        <v>14</v>
      </c>
      <c r="B45" s="333"/>
      <c r="C45" s="334" t="s">
        <v>225</v>
      </c>
      <c r="D45" s="335"/>
      <c r="E45" s="336" t="str">
        <f t="shared" si="10"/>
        <v/>
      </c>
      <c r="F45" s="337"/>
      <c r="G45" s="336">
        <f t="shared" si="13"/>
        <v>0</v>
      </c>
      <c r="H45" s="377"/>
      <c r="I45" s="336">
        <f t="shared" si="15"/>
        <v>0</v>
      </c>
      <c r="J45" s="434"/>
      <c r="K45" s="340" t="str">
        <f t="shared" si="11"/>
        <v/>
      </c>
      <c r="L45" s="341" t="str">
        <f t="shared" si="4"/>
        <v xml:space="preserve"> </v>
      </c>
      <c r="M45" s="336" t="str">
        <f t="shared" si="5"/>
        <v xml:space="preserve"> </v>
      </c>
      <c r="N45" s="342" t="str">
        <f t="shared" si="2"/>
        <v xml:space="preserve"> </v>
      </c>
    </row>
    <row r="46" spans="1:15" s="278" customFormat="1" ht="24" x14ac:dyDescent="0.25">
      <c r="A46" s="332">
        <f t="shared" si="12"/>
        <v>15</v>
      </c>
      <c r="B46" s="333"/>
      <c r="C46" s="334" t="s">
        <v>226</v>
      </c>
      <c r="D46" s="335"/>
      <c r="E46" s="336" t="str">
        <f t="shared" si="10"/>
        <v/>
      </c>
      <c r="F46" s="337"/>
      <c r="G46" s="336">
        <f t="shared" si="13"/>
        <v>0</v>
      </c>
      <c r="H46" s="377"/>
      <c r="I46" s="336">
        <f t="shared" si="15"/>
        <v>0</v>
      </c>
      <c r="J46" s="434"/>
      <c r="K46" s="340" t="str">
        <f t="shared" si="11"/>
        <v/>
      </c>
      <c r="L46" s="341" t="str">
        <f t="shared" si="4"/>
        <v xml:space="preserve"> </v>
      </c>
      <c r="M46" s="336" t="str">
        <f t="shared" si="5"/>
        <v xml:space="preserve"> </v>
      </c>
      <c r="N46" s="342" t="str">
        <f t="shared" si="2"/>
        <v xml:space="preserve"> </v>
      </c>
    </row>
    <row r="47" spans="1:15" s="278" customFormat="1" ht="24" x14ac:dyDescent="0.25">
      <c r="A47" s="332">
        <f t="shared" si="12"/>
        <v>16</v>
      </c>
      <c r="B47" s="333"/>
      <c r="C47" s="334" t="s">
        <v>227</v>
      </c>
      <c r="D47" s="335"/>
      <c r="E47" s="336" t="str">
        <f t="shared" si="10"/>
        <v/>
      </c>
      <c r="F47" s="337"/>
      <c r="G47" s="336">
        <f t="shared" si="13"/>
        <v>0</v>
      </c>
      <c r="H47" s="377"/>
      <c r="I47" s="336">
        <f t="shared" si="15"/>
        <v>0</v>
      </c>
      <c r="J47" s="434"/>
      <c r="K47" s="340" t="str">
        <f t="shared" si="11"/>
        <v/>
      </c>
      <c r="L47" s="341" t="str">
        <f t="shared" si="4"/>
        <v xml:space="preserve"> </v>
      </c>
      <c r="M47" s="336" t="str">
        <f t="shared" si="5"/>
        <v xml:space="preserve"> </v>
      </c>
      <c r="N47" s="342" t="str">
        <f t="shared" si="2"/>
        <v xml:space="preserve"> </v>
      </c>
    </row>
    <row r="48" spans="1:15" s="278" customFormat="1" ht="16.5" customHeight="1" x14ac:dyDescent="0.25">
      <c r="A48" s="332">
        <f t="shared" si="12"/>
        <v>17</v>
      </c>
      <c r="B48" s="333"/>
      <c r="C48" s="334" t="s">
        <v>228</v>
      </c>
      <c r="D48" s="335"/>
      <c r="E48" s="336" t="str">
        <f t="shared" si="10"/>
        <v/>
      </c>
      <c r="F48" s="337"/>
      <c r="G48" s="336">
        <f t="shared" si="13"/>
        <v>0</v>
      </c>
      <c r="H48" s="377"/>
      <c r="I48" s="336">
        <f t="shared" si="15"/>
        <v>0</v>
      </c>
      <c r="J48" s="434"/>
      <c r="K48" s="340" t="str">
        <f t="shared" ref="K48:K52" si="19">IF(J48=0,"",100*J48/pasiva1)</f>
        <v/>
      </c>
      <c r="L48" s="341" t="str">
        <f t="shared" si="4"/>
        <v xml:space="preserve"> </v>
      </c>
      <c r="M48" s="336" t="str">
        <f t="shared" si="5"/>
        <v xml:space="preserve"> </v>
      </c>
      <c r="N48" s="342" t="str">
        <f t="shared" si="2"/>
        <v xml:space="preserve"> </v>
      </c>
    </row>
    <row r="49" spans="1:14" s="278" customFormat="1" ht="24" x14ac:dyDescent="0.25">
      <c r="A49" s="332">
        <f t="shared" si="12"/>
        <v>18</v>
      </c>
      <c r="B49" s="333"/>
      <c r="C49" s="334" t="s">
        <v>229</v>
      </c>
      <c r="D49" s="335">
        <v>519177</v>
      </c>
      <c r="E49" s="336">
        <f t="shared" si="10"/>
        <v>0.22137085137411236</v>
      </c>
      <c r="F49" s="337">
        <v>340932</v>
      </c>
      <c r="G49" s="336">
        <f t="shared" si="13"/>
        <v>0.17172112515868612</v>
      </c>
      <c r="H49" s="338">
        <v>340932</v>
      </c>
      <c r="I49" s="336">
        <f t="shared" si="15"/>
        <v>0.1462194731595709</v>
      </c>
      <c r="J49" s="339">
        <v>298632</v>
      </c>
      <c r="K49" s="340">
        <f t="shared" si="19"/>
        <v>0.12839398617654502</v>
      </c>
      <c r="L49" s="341">
        <f t="shared" si="4"/>
        <v>65.667778041014913</v>
      </c>
      <c r="M49" s="336">
        <f t="shared" si="5"/>
        <v>100</v>
      </c>
      <c r="N49" s="342">
        <f t="shared" si="2"/>
        <v>87.592833761571214</v>
      </c>
    </row>
    <row r="50" spans="1:14" s="278" customFormat="1" ht="18" customHeight="1" x14ac:dyDescent="0.25">
      <c r="A50" s="332">
        <f t="shared" si="12"/>
        <v>19</v>
      </c>
      <c r="B50" s="333"/>
      <c r="C50" s="334" t="s">
        <v>230</v>
      </c>
      <c r="D50" s="335"/>
      <c r="E50" s="336" t="str">
        <f t="shared" si="10"/>
        <v/>
      </c>
      <c r="F50" s="337"/>
      <c r="G50" s="336">
        <f t="shared" si="13"/>
        <v>0</v>
      </c>
      <c r="H50" s="377"/>
      <c r="I50" s="336">
        <f t="shared" si="15"/>
        <v>0</v>
      </c>
      <c r="J50" s="434"/>
      <c r="K50" s="340" t="str">
        <f t="shared" si="19"/>
        <v/>
      </c>
      <c r="L50" s="341" t="str">
        <f t="shared" si="4"/>
        <v xml:space="preserve"> </v>
      </c>
      <c r="M50" s="336" t="str">
        <f t="shared" si="5"/>
        <v xml:space="preserve"> </v>
      </c>
      <c r="N50" s="342" t="str">
        <f t="shared" si="2"/>
        <v xml:space="preserve"> </v>
      </c>
    </row>
    <row r="51" spans="1:14" s="278" customFormat="1" ht="18" customHeight="1" x14ac:dyDescent="0.25">
      <c r="A51" s="332">
        <f t="shared" si="12"/>
        <v>20</v>
      </c>
      <c r="B51" s="333"/>
      <c r="C51" s="334" t="s">
        <v>231</v>
      </c>
      <c r="D51" s="335"/>
      <c r="E51" s="336" t="str">
        <f t="shared" si="10"/>
        <v/>
      </c>
      <c r="F51" s="337"/>
      <c r="G51" s="336">
        <f t="shared" si="13"/>
        <v>0</v>
      </c>
      <c r="H51" s="377"/>
      <c r="I51" s="336">
        <f t="shared" si="15"/>
        <v>0</v>
      </c>
      <c r="J51" s="434"/>
      <c r="K51" s="340" t="str">
        <f t="shared" si="19"/>
        <v/>
      </c>
      <c r="L51" s="341" t="str">
        <f t="shared" si="4"/>
        <v xml:space="preserve"> </v>
      </c>
      <c r="M51" s="336" t="str">
        <f t="shared" si="5"/>
        <v xml:space="preserve"> </v>
      </c>
      <c r="N51" s="342" t="str">
        <f t="shared" si="2"/>
        <v xml:space="preserve"> </v>
      </c>
    </row>
    <row r="52" spans="1:14" s="278" customFormat="1" ht="18" customHeight="1" x14ac:dyDescent="0.25">
      <c r="A52" s="332">
        <f t="shared" si="12"/>
        <v>21</v>
      </c>
      <c r="B52" s="333"/>
      <c r="C52" s="334" t="s">
        <v>232</v>
      </c>
      <c r="D52" s="335"/>
      <c r="E52" s="336" t="str">
        <f t="shared" si="10"/>
        <v/>
      </c>
      <c r="F52" s="337"/>
      <c r="G52" s="336">
        <f t="shared" si="13"/>
        <v>0</v>
      </c>
      <c r="H52" s="377"/>
      <c r="I52" s="336">
        <f t="shared" si="15"/>
        <v>0</v>
      </c>
      <c r="J52" s="434"/>
      <c r="K52" s="340" t="str">
        <f t="shared" si="19"/>
        <v/>
      </c>
      <c r="L52" s="341" t="str">
        <f t="shared" si="4"/>
        <v xml:space="preserve"> </v>
      </c>
      <c r="M52" s="336" t="str">
        <f t="shared" si="5"/>
        <v xml:space="preserve"> </v>
      </c>
      <c r="N52" s="342" t="str">
        <f t="shared" si="2"/>
        <v xml:space="preserve"> </v>
      </c>
    </row>
    <row r="53" spans="1:14" s="278" customFormat="1" ht="18" customHeight="1" x14ac:dyDescent="0.25">
      <c r="A53" s="332">
        <f t="shared" si="12"/>
        <v>22</v>
      </c>
      <c r="B53" s="333"/>
      <c r="C53" s="334" t="s">
        <v>233</v>
      </c>
      <c r="D53" s="335">
        <v>574427</v>
      </c>
      <c r="E53" s="336">
        <f t="shared" si="10"/>
        <v>0.24492878929975179</v>
      </c>
      <c r="F53" s="337">
        <v>3000</v>
      </c>
      <c r="G53" s="336">
        <f t="shared" si="13"/>
        <v>1.5110443592154983E-3</v>
      </c>
      <c r="H53" s="338">
        <v>660087</v>
      </c>
      <c r="I53" s="336">
        <f t="shared" si="15"/>
        <v>0.28309919098084568</v>
      </c>
      <c r="J53" s="339">
        <v>660087</v>
      </c>
      <c r="K53" s="340">
        <f t="shared" si="11"/>
        <v>0.283798123286577</v>
      </c>
      <c r="L53" s="341">
        <f t="shared" si="4"/>
        <v>114.91225168733364</v>
      </c>
      <c r="M53" s="336" t="str">
        <f t="shared" si="5"/>
        <v>...</v>
      </c>
      <c r="N53" s="342">
        <f t="shared" si="2"/>
        <v>100</v>
      </c>
    </row>
    <row r="54" spans="1:14" s="278" customFormat="1" ht="18" customHeight="1" thickBot="1" x14ac:dyDescent="0.3">
      <c r="A54" s="343">
        <f>A53+1</f>
        <v>23</v>
      </c>
      <c r="B54" s="344"/>
      <c r="C54" s="345" t="s">
        <v>234</v>
      </c>
      <c r="D54" s="435">
        <v>26728843</v>
      </c>
      <c r="E54" s="347">
        <f t="shared" si="10"/>
        <v>11.396858356889814</v>
      </c>
      <c r="F54" s="348">
        <v>20300000</v>
      </c>
      <c r="G54" s="347">
        <f t="shared" si="13"/>
        <v>10.224733497358205</v>
      </c>
      <c r="H54" s="349">
        <v>26728843</v>
      </c>
      <c r="I54" s="347">
        <f t="shared" si="15"/>
        <v>11.463509854237456</v>
      </c>
      <c r="J54" s="456">
        <v>26728843</v>
      </c>
      <c r="K54" s="351">
        <f t="shared" si="11"/>
        <v>11.491811656677925</v>
      </c>
      <c r="L54" s="352">
        <f t="shared" si="4"/>
        <v>100</v>
      </c>
      <c r="M54" s="347">
        <f t="shared" si="5"/>
        <v>131.66917733990149</v>
      </c>
      <c r="N54" s="353">
        <f t="shared" si="2"/>
        <v>100</v>
      </c>
    </row>
    <row r="55" spans="1:14" s="374" customFormat="1" ht="18" customHeight="1" thickBot="1" x14ac:dyDescent="0.3">
      <c r="A55" s="355">
        <f t="shared" si="12"/>
        <v>24</v>
      </c>
      <c r="B55" s="436"/>
      <c r="C55" s="437" t="s">
        <v>235</v>
      </c>
      <c r="D55" s="438">
        <f>SUM(D44:D54)</f>
        <v>29728370</v>
      </c>
      <c r="E55" s="439">
        <f t="shared" si="10"/>
        <v>12.675820725618856</v>
      </c>
      <c r="F55" s="440">
        <f>SUM(F44:F54)</f>
        <v>22016198</v>
      </c>
      <c r="G55" s="391">
        <f t="shared" si="13"/>
        <v>11.089150599757179</v>
      </c>
      <c r="H55" s="440">
        <f>SUM(H44:H54)</f>
        <v>27729862</v>
      </c>
      <c r="I55" s="439">
        <f t="shared" si="15"/>
        <v>11.892828518377874</v>
      </c>
      <c r="J55" s="438">
        <f>SUM(J44:J54)</f>
        <v>28373695</v>
      </c>
      <c r="K55" s="441">
        <f t="shared" si="11"/>
        <v>12.199000119235395</v>
      </c>
      <c r="L55" s="442">
        <f t="shared" si="4"/>
        <v>93.277438352657754</v>
      </c>
      <c r="M55" s="439">
        <f t="shared" si="5"/>
        <v>125.95209218231049</v>
      </c>
      <c r="N55" s="443">
        <f t="shared" si="2"/>
        <v>102.32180383732165</v>
      </c>
    </row>
    <row r="56" spans="1:14" s="455" customFormat="1" ht="18" customHeight="1" x14ac:dyDescent="0.25">
      <c r="A56" s="365">
        <f t="shared" si="12"/>
        <v>25</v>
      </c>
      <c r="B56" s="457" t="s">
        <v>204</v>
      </c>
      <c r="C56" s="367" t="s">
        <v>236</v>
      </c>
      <c r="D56" s="458"/>
      <c r="E56" s="459" t="str">
        <f t="shared" si="10"/>
        <v/>
      </c>
      <c r="F56" s="459"/>
      <c r="G56" s="370">
        <f t="shared" si="13"/>
        <v>0</v>
      </c>
      <c r="H56" s="459"/>
      <c r="I56" s="459">
        <f t="shared" si="15"/>
        <v>0</v>
      </c>
      <c r="J56" s="458"/>
      <c r="K56" s="460" t="str">
        <f t="shared" si="11"/>
        <v/>
      </c>
      <c r="L56" s="461" t="str">
        <f t="shared" si="4"/>
        <v xml:space="preserve"> </v>
      </c>
      <c r="M56" s="459" t="str">
        <f t="shared" si="5"/>
        <v xml:space="preserve"> </v>
      </c>
      <c r="N56" s="462" t="str">
        <f t="shared" si="2"/>
        <v xml:space="preserve"> </v>
      </c>
    </row>
    <row r="57" spans="1:14" s="278" customFormat="1" ht="18" customHeight="1" x14ac:dyDescent="0.25">
      <c r="A57" s="332">
        <f t="shared" si="12"/>
        <v>26</v>
      </c>
      <c r="B57" s="333"/>
      <c r="C57" s="334" t="s">
        <v>224</v>
      </c>
      <c r="D57" s="335">
        <v>4552544</v>
      </c>
      <c r="E57" s="336">
        <f t="shared" si="10"/>
        <v>1.9411502073437517</v>
      </c>
      <c r="F57" s="337">
        <v>4355186</v>
      </c>
      <c r="G57" s="336">
        <f t="shared" si="13"/>
        <v>2.1936264128781033</v>
      </c>
      <c r="H57" s="338">
        <v>2409470</v>
      </c>
      <c r="I57" s="336">
        <f t="shared" si="15"/>
        <v>1.0333774300851528</v>
      </c>
      <c r="J57" s="339">
        <v>1204735</v>
      </c>
      <c r="K57" s="340">
        <f t="shared" si="11"/>
        <v>0.51796434721128326</v>
      </c>
      <c r="L57" s="341">
        <f t="shared" si="4"/>
        <v>52.92579269964223</v>
      </c>
      <c r="M57" s="336">
        <f t="shared" si="5"/>
        <v>55.324158371192411</v>
      </c>
      <c r="N57" s="342">
        <f t="shared" si="2"/>
        <v>50</v>
      </c>
    </row>
    <row r="58" spans="1:14" s="278" customFormat="1" ht="24" x14ac:dyDescent="0.25">
      <c r="A58" s="332">
        <f t="shared" si="12"/>
        <v>27</v>
      </c>
      <c r="B58" s="333"/>
      <c r="C58" s="334" t="s">
        <v>225</v>
      </c>
      <c r="D58" s="335">
        <v>0</v>
      </c>
      <c r="E58" s="336" t="str">
        <f t="shared" si="10"/>
        <v/>
      </c>
      <c r="F58" s="337"/>
      <c r="G58" s="336">
        <f t="shared" si="13"/>
        <v>0</v>
      </c>
      <c r="H58" s="377"/>
      <c r="I58" s="336">
        <f t="shared" si="15"/>
        <v>0</v>
      </c>
      <c r="J58" s="434"/>
      <c r="K58" s="340" t="str">
        <f t="shared" si="11"/>
        <v/>
      </c>
      <c r="L58" s="341" t="str">
        <f t="shared" si="4"/>
        <v xml:space="preserve"> </v>
      </c>
      <c r="M58" s="336" t="str">
        <f t="shared" si="5"/>
        <v xml:space="preserve"> </v>
      </c>
      <c r="N58" s="342" t="str">
        <f t="shared" si="2"/>
        <v xml:space="preserve"> </v>
      </c>
    </row>
    <row r="59" spans="1:14" s="278" customFormat="1" ht="24" x14ac:dyDescent="0.25">
      <c r="A59" s="332">
        <f t="shared" si="12"/>
        <v>28</v>
      </c>
      <c r="B59" s="333"/>
      <c r="C59" s="334" t="s">
        <v>226</v>
      </c>
      <c r="D59" s="335"/>
      <c r="E59" s="336" t="str">
        <f t="shared" si="10"/>
        <v/>
      </c>
      <c r="F59" s="337"/>
      <c r="G59" s="336">
        <f t="shared" si="13"/>
        <v>0</v>
      </c>
      <c r="H59" s="377"/>
      <c r="I59" s="336">
        <f t="shared" si="15"/>
        <v>0</v>
      </c>
      <c r="J59" s="434"/>
      <c r="K59" s="340" t="str">
        <f t="shared" ref="K59" si="20">IF(J59=0,"",100*J59/pasiva1)</f>
        <v/>
      </c>
      <c r="L59" s="341" t="str">
        <f t="shared" si="4"/>
        <v xml:space="preserve"> </v>
      </c>
      <c r="M59" s="336" t="str">
        <f t="shared" si="5"/>
        <v xml:space="preserve"> </v>
      </c>
      <c r="N59" s="342" t="str">
        <f t="shared" si="2"/>
        <v xml:space="preserve"> </v>
      </c>
    </row>
    <row r="60" spans="1:14" s="278" customFormat="1" ht="24" x14ac:dyDescent="0.25">
      <c r="A60" s="332">
        <f t="shared" si="12"/>
        <v>29</v>
      </c>
      <c r="B60" s="333"/>
      <c r="C60" s="334" t="s">
        <v>227</v>
      </c>
      <c r="D60" s="335"/>
      <c r="E60" s="336" t="str">
        <f t="shared" si="10"/>
        <v/>
      </c>
      <c r="F60" s="337"/>
      <c r="G60" s="336">
        <f t="shared" si="13"/>
        <v>0</v>
      </c>
      <c r="H60" s="377"/>
      <c r="I60" s="336">
        <f t="shared" si="15"/>
        <v>0</v>
      </c>
      <c r="J60" s="434"/>
      <c r="K60" s="340" t="str">
        <f t="shared" si="11"/>
        <v/>
      </c>
      <c r="L60" s="341" t="str">
        <f t="shared" si="4"/>
        <v xml:space="preserve"> </v>
      </c>
      <c r="M60" s="336" t="str">
        <f t="shared" si="5"/>
        <v xml:space="preserve"> </v>
      </c>
      <c r="N60" s="342" t="str">
        <f t="shared" si="2"/>
        <v xml:space="preserve"> </v>
      </c>
    </row>
    <row r="61" spans="1:14" s="278" customFormat="1" ht="18" customHeight="1" x14ac:dyDescent="0.25">
      <c r="A61" s="332">
        <f t="shared" si="12"/>
        <v>30</v>
      </c>
      <c r="B61" s="333"/>
      <c r="C61" s="334" t="s">
        <v>228</v>
      </c>
      <c r="D61" s="335">
        <v>2540798</v>
      </c>
      <c r="E61" s="336">
        <f t="shared" si="10"/>
        <v>1.0833658201916532</v>
      </c>
      <c r="F61" s="337">
        <v>2846457</v>
      </c>
      <c r="G61" s="336">
        <f t="shared" si="13"/>
        <v>1.4337075978664899</v>
      </c>
      <c r="H61" s="338">
        <v>267222</v>
      </c>
      <c r="I61" s="336">
        <f t="shared" si="15"/>
        <v>0.11460660793544419</v>
      </c>
      <c r="J61" s="339">
        <v>190000</v>
      </c>
      <c r="K61" s="340">
        <f t="shared" si="11"/>
        <v>8.1688691679202327E-2</v>
      </c>
      <c r="L61" s="341">
        <f t="shared" si="4"/>
        <v>10.517246943676749</v>
      </c>
      <c r="M61" s="336">
        <f t="shared" si="5"/>
        <v>9.3878811448758928</v>
      </c>
      <c r="N61" s="342">
        <f t="shared" si="2"/>
        <v>71.101930230295409</v>
      </c>
    </row>
    <row r="62" spans="1:14" s="278" customFormat="1" ht="24" x14ac:dyDescent="0.25">
      <c r="A62" s="332">
        <f t="shared" si="12"/>
        <v>31</v>
      </c>
      <c r="B62" s="333"/>
      <c r="C62" s="334" t="s">
        <v>229</v>
      </c>
      <c r="D62" s="335">
        <v>178245</v>
      </c>
      <c r="E62" s="336">
        <f t="shared" si="10"/>
        <v>7.6001532046255232E-2</v>
      </c>
      <c r="F62" s="337">
        <v>178244</v>
      </c>
      <c r="G62" s="336">
        <f t="shared" si="13"/>
        <v>8.9778196921335762E-2</v>
      </c>
      <c r="H62" s="338">
        <v>187319</v>
      </c>
      <c r="I62" s="336">
        <f t="shared" si="15"/>
        <v>8.0337678753468908E-2</v>
      </c>
      <c r="J62" s="339">
        <v>137319</v>
      </c>
      <c r="K62" s="340">
        <f t="shared" si="11"/>
        <v>5.9038997119454657E-2</v>
      </c>
      <c r="L62" s="341">
        <f t="shared" si="4"/>
        <v>105.09074588347499</v>
      </c>
      <c r="M62" s="336">
        <f t="shared" si="5"/>
        <v>105.09133547272278</v>
      </c>
      <c r="N62" s="342">
        <f t="shared" si="2"/>
        <v>73.307566237274386</v>
      </c>
    </row>
    <row r="63" spans="1:14" s="278" customFormat="1" ht="18" customHeight="1" x14ac:dyDescent="0.25">
      <c r="A63" s="332">
        <f t="shared" si="12"/>
        <v>32</v>
      </c>
      <c r="B63" s="333"/>
      <c r="C63" s="334" t="s">
        <v>230</v>
      </c>
      <c r="D63" s="335">
        <v>224941</v>
      </c>
      <c r="E63" s="336">
        <f t="shared" si="10"/>
        <v>9.5912146876583906E-2</v>
      </c>
      <c r="F63" s="337">
        <v>800000</v>
      </c>
      <c r="G63" s="336">
        <f t="shared" si="13"/>
        <v>0.40294516245746625</v>
      </c>
      <c r="H63" s="338">
        <v>50145</v>
      </c>
      <c r="I63" s="336">
        <f t="shared" si="15"/>
        <v>2.1506269524675544E-2</v>
      </c>
      <c r="J63" s="339">
        <v>48526</v>
      </c>
      <c r="K63" s="340">
        <f t="shared" ref="K63:K67" si="21">IF(J63=0,"",100*J63/pasiva1)</f>
        <v>2.0863291854868276E-2</v>
      </c>
      <c r="L63" s="341">
        <f t="shared" si="4"/>
        <v>22.292512258770078</v>
      </c>
      <c r="M63" s="336">
        <f t="shared" si="5"/>
        <v>6.2681249999999995</v>
      </c>
      <c r="N63" s="342">
        <f t="shared" si="2"/>
        <v>96.771363047163234</v>
      </c>
    </row>
    <row r="64" spans="1:14" s="278" customFormat="1" ht="18" customHeight="1" x14ac:dyDescent="0.25">
      <c r="A64" s="332">
        <f t="shared" si="12"/>
        <v>33</v>
      </c>
      <c r="B64" s="333"/>
      <c r="C64" s="334" t="s">
        <v>231</v>
      </c>
      <c r="D64" s="335">
        <v>1078759</v>
      </c>
      <c r="E64" s="336">
        <f t="shared" si="10"/>
        <v>0.45996991056515613</v>
      </c>
      <c r="F64" s="337">
        <v>968915</v>
      </c>
      <c r="G64" s="336">
        <f t="shared" si="13"/>
        <v>0.48802451510309491</v>
      </c>
      <c r="H64" s="338">
        <v>811844</v>
      </c>
      <c r="I64" s="336">
        <f t="shared" si="15"/>
        <v>0.34818498107469725</v>
      </c>
      <c r="J64" s="339">
        <v>743659</v>
      </c>
      <c r="K64" s="340">
        <f t="shared" si="21"/>
        <v>0.31972910929191539</v>
      </c>
      <c r="L64" s="341">
        <f t="shared" si="4"/>
        <v>75.257216857518685</v>
      </c>
      <c r="M64" s="336">
        <f t="shared" si="5"/>
        <v>83.788980457522072</v>
      </c>
      <c r="N64" s="342">
        <f t="shared" si="2"/>
        <v>91.601218953394991</v>
      </c>
    </row>
    <row r="65" spans="1:14" s="278" customFormat="1" ht="18" customHeight="1" x14ac:dyDescent="0.25">
      <c r="A65" s="332">
        <f t="shared" si="12"/>
        <v>34</v>
      </c>
      <c r="B65" s="333"/>
      <c r="C65" s="334" t="s">
        <v>232</v>
      </c>
      <c r="D65" s="335"/>
      <c r="E65" s="336" t="str">
        <f t="shared" si="10"/>
        <v/>
      </c>
      <c r="F65" s="337"/>
      <c r="G65" s="336">
        <f t="shared" si="13"/>
        <v>0</v>
      </c>
      <c r="H65" s="377"/>
      <c r="I65" s="336">
        <f t="shared" si="15"/>
        <v>0</v>
      </c>
      <c r="J65" s="434"/>
      <c r="K65" s="340" t="str">
        <f t="shared" si="21"/>
        <v/>
      </c>
      <c r="L65" s="341" t="str">
        <f t="shared" si="4"/>
        <v xml:space="preserve"> </v>
      </c>
      <c r="M65" s="336" t="str">
        <f t="shared" si="5"/>
        <v xml:space="preserve"> </v>
      </c>
      <c r="N65" s="342" t="str">
        <f t="shared" si="2"/>
        <v xml:space="preserve"> </v>
      </c>
    </row>
    <row r="66" spans="1:14" s="278" customFormat="1" ht="18" customHeight="1" x14ac:dyDescent="0.25">
      <c r="A66" s="332">
        <f t="shared" si="12"/>
        <v>35</v>
      </c>
      <c r="B66" s="333"/>
      <c r="C66" s="334" t="s">
        <v>237</v>
      </c>
      <c r="D66" s="335">
        <v>152164</v>
      </c>
      <c r="E66" s="336">
        <f t="shared" si="10"/>
        <v>6.4880906181303155E-2</v>
      </c>
      <c r="F66" s="337">
        <v>250000</v>
      </c>
      <c r="G66" s="336">
        <f t="shared" si="13"/>
        <v>0.12592036326795822</v>
      </c>
      <c r="H66" s="338">
        <v>290187</v>
      </c>
      <c r="I66" s="336">
        <f t="shared" si="15"/>
        <v>0.124455874654642</v>
      </c>
      <c r="J66" s="339">
        <v>313680</v>
      </c>
      <c r="K66" s="340">
        <f t="shared" si="21"/>
        <v>0.13486373055753784</v>
      </c>
      <c r="L66" s="341">
        <f t="shared" si="4"/>
        <v>190.70673746746931</v>
      </c>
      <c r="M66" s="336">
        <f t="shared" si="5"/>
        <v>116.07479999999998</v>
      </c>
      <c r="N66" s="342">
        <f t="shared" si="2"/>
        <v>108.09581407850798</v>
      </c>
    </row>
    <row r="67" spans="1:14" s="278" customFormat="1" ht="18" customHeight="1" x14ac:dyDescent="0.25">
      <c r="A67" s="332">
        <f t="shared" si="12"/>
        <v>36</v>
      </c>
      <c r="B67" s="333"/>
      <c r="C67" s="334" t="s">
        <v>238</v>
      </c>
      <c r="D67" s="335">
        <v>501996</v>
      </c>
      <c r="E67" s="336">
        <f t="shared" si="10"/>
        <v>0.21404507885826779</v>
      </c>
      <c r="F67" s="337">
        <v>270000</v>
      </c>
      <c r="G67" s="336">
        <f t="shared" si="13"/>
        <v>0.13599399232939485</v>
      </c>
      <c r="H67" s="338">
        <v>620122</v>
      </c>
      <c r="I67" s="336">
        <f t="shared" si="15"/>
        <v>0.26595893648780233</v>
      </c>
      <c r="J67" s="339">
        <v>618355</v>
      </c>
      <c r="K67" s="340">
        <f t="shared" si="21"/>
        <v>0.26585584706996401</v>
      </c>
      <c r="L67" s="341">
        <f t="shared" si="4"/>
        <v>123.53126319731631</v>
      </c>
      <c r="M67" s="336">
        <f t="shared" si="5"/>
        <v>229.67481481481479</v>
      </c>
      <c r="N67" s="342">
        <f t="shared" si="2"/>
        <v>99.715056069612103</v>
      </c>
    </row>
    <row r="68" spans="1:14" s="278" customFormat="1" ht="18" customHeight="1" x14ac:dyDescent="0.25">
      <c r="A68" s="332">
        <f t="shared" si="12"/>
        <v>37</v>
      </c>
      <c r="B68" s="333"/>
      <c r="C68" s="334" t="s">
        <v>239</v>
      </c>
      <c r="D68" s="335"/>
      <c r="E68" s="336" t="str">
        <f>IF(D68=0,"",100*D68/$D$73)</f>
        <v/>
      </c>
      <c r="F68" s="337"/>
      <c r="G68" s="336">
        <f t="shared" si="13"/>
        <v>0</v>
      </c>
      <c r="H68" s="336"/>
      <c r="I68" s="336">
        <f t="shared" si="15"/>
        <v>0</v>
      </c>
      <c r="J68" s="335"/>
      <c r="K68" s="340" t="str">
        <f t="shared" si="11"/>
        <v/>
      </c>
      <c r="L68" s="341" t="str">
        <f t="shared" si="4"/>
        <v xml:space="preserve"> </v>
      </c>
      <c r="M68" s="336" t="str">
        <f t="shared" si="5"/>
        <v xml:space="preserve"> </v>
      </c>
      <c r="N68" s="342" t="str">
        <f t="shared" si="2"/>
        <v xml:space="preserve"> </v>
      </c>
    </row>
    <row r="69" spans="1:14" s="278" customFormat="1" ht="24" x14ac:dyDescent="0.25">
      <c r="A69" s="332">
        <f t="shared" si="12"/>
        <v>38</v>
      </c>
      <c r="B69" s="333"/>
      <c r="C69" s="334" t="s">
        <v>240</v>
      </c>
      <c r="D69" s="335"/>
      <c r="E69" s="336" t="str">
        <f>IF(D69=0,"",100*D69/$D$73)</f>
        <v/>
      </c>
      <c r="F69" s="337"/>
      <c r="G69" s="336">
        <f t="shared" si="13"/>
        <v>0</v>
      </c>
      <c r="H69" s="336"/>
      <c r="I69" s="336">
        <f t="shared" si="15"/>
        <v>0</v>
      </c>
      <c r="J69" s="335"/>
      <c r="K69" s="340" t="str">
        <f t="shared" si="11"/>
        <v/>
      </c>
      <c r="L69" s="341" t="str">
        <f t="shared" si="4"/>
        <v xml:space="preserve"> </v>
      </c>
      <c r="M69" s="336" t="str">
        <f t="shared" si="5"/>
        <v xml:space="preserve"> </v>
      </c>
      <c r="N69" s="342" t="str">
        <f t="shared" si="2"/>
        <v xml:space="preserve"> </v>
      </c>
    </row>
    <row r="70" spans="1:14" s="278" customFormat="1" ht="18" customHeight="1" thickBot="1" x14ac:dyDescent="0.3">
      <c r="A70" s="343">
        <f t="shared" si="12"/>
        <v>39</v>
      </c>
      <c r="B70" s="344"/>
      <c r="C70" s="345" t="s">
        <v>241</v>
      </c>
      <c r="D70" s="435">
        <v>1009221</v>
      </c>
      <c r="E70" s="347">
        <f>IF(D70=0,"",100*D70/$D$73)</f>
        <v>0.43031974065614048</v>
      </c>
      <c r="F70" s="348">
        <v>300000</v>
      </c>
      <c r="G70" s="347">
        <f t="shared" si="13"/>
        <v>0.15110443592154985</v>
      </c>
      <c r="H70" s="463"/>
      <c r="I70" s="463">
        <f t="shared" si="15"/>
        <v>0</v>
      </c>
      <c r="J70" s="464"/>
      <c r="K70" s="351" t="str">
        <f t="shared" si="11"/>
        <v/>
      </c>
      <c r="L70" s="352">
        <f t="shared" si="4"/>
        <v>0</v>
      </c>
      <c r="M70" s="347">
        <f t="shared" si="5"/>
        <v>0</v>
      </c>
      <c r="N70" s="353" t="str">
        <f t="shared" si="2"/>
        <v xml:space="preserve"> </v>
      </c>
    </row>
    <row r="71" spans="1:14" s="331" customFormat="1" ht="18" customHeight="1" thickBot="1" x14ac:dyDescent="0.3">
      <c r="A71" s="355">
        <f t="shared" si="12"/>
        <v>40</v>
      </c>
      <c r="B71" s="436"/>
      <c r="C71" s="437" t="s">
        <v>242</v>
      </c>
      <c r="D71" s="440">
        <f>SUM(D57:D70)</f>
        <v>10238668</v>
      </c>
      <c r="E71" s="439">
        <f>IF(D71=0,"",100*D71/$D$73)</f>
        <v>4.3656453427191115</v>
      </c>
      <c r="F71" s="465">
        <f>SUM(F57:F70)</f>
        <v>9968802</v>
      </c>
      <c r="G71" s="439">
        <f t="shared" si="13"/>
        <v>5.0211006767453927</v>
      </c>
      <c r="H71" s="465">
        <f>SUM(H57:H70)</f>
        <v>4636309</v>
      </c>
      <c r="I71" s="439">
        <f t="shared" si="15"/>
        <v>1.9884277785158828</v>
      </c>
      <c r="J71" s="440">
        <f>SUM(J57:J70)</f>
        <v>3256274</v>
      </c>
      <c r="K71" s="441">
        <f t="shared" si="11"/>
        <v>1.4000040147842259</v>
      </c>
      <c r="L71" s="442">
        <f t="shared" si="4"/>
        <v>45.282345320699918</v>
      </c>
      <c r="M71" s="439">
        <f t="shared" si="5"/>
        <v>46.508186239429769</v>
      </c>
      <c r="N71" s="443">
        <f t="shared" si="2"/>
        <v>70.234188446024632</v>
      </c>
    </row>
    <row r="72" spans="1:14" s="331" customFormat="1" ht="24" customHeight="1" thickBot="1" x14ac:dyDescent="0.3">
      <c r="A72" s="388">
        <f t="shared" si="12"/>
        <v>41</v>
      </c>
      <c r="B72" s="466" t="s">
        <v>206</v>
      </c>
      <c r="C72" s="357" t="s">
        <v>243</v>
      </c>
      <c r="D72" s="440">
        <v>1090657</v>
      </c>
      <c r="E72" s="439">
        <f t="shared" ref="E72:E73" si="22">IF(D72=0,"",100*D72/$D$73)</f>
        <v>0.46504307518849114</v>
      </c>
      <c r="F72" s="465">
        <v>550000</v>
      </c>
      <c r="G72" s="439">
        <f t="shared" si="13"/>
        <v>0.27702479918950806</v>
      </c>
      <c r="H72" s="467">
        <v>1489051</v>
      </c>
      <c r="I72" s="439">
        <f t="shared" si="15"/>
        <v>0.63862662562543915</v>
      </c>
      <c r="J72" s="467">
        <v>1411461</v>
      </c>
      <c r="K72" s="441">
        <f t="shared" ref="K72" si="23">IF(J72=0,"",100*J72/pasiva1)</f>
        <v>0.60684422340115052</v>
      </c>
      <c r="L72" s="442">
        <f t="shared" si="4"/>
        <v>136.52789098680887</v>
      </c>
      <c r="M72" s="439">
        <f t="shared" si="5"/>
        <v>270.73654545454542</v>
      </c>
      <c r="N72" s="443">
        <f t="shared" si="2"/>
        <v>94.789298687553341</v>
      </c>
    </row>
    <row r="73" spans="1:14" s="331" customFormat="1" ht="18" customHeight="1" thickBot="1" x14ac:dyDescent="0.3">
      <c r="A73" s="398"/>
      <c r="B73" s="468" t="s">
        <v>208</v>
      </c>
      <c r="C73" s="400" t="s">
        <v>244</v>
      </c>
      <c r="D73" s="469">
        <f>SUM(D41,D42,D55,D71,D72)</f>
        <v>234528167</v>
      </c>
      <c r="E73" s="439">
        <f t="shared" si="22"/>
        <v>100</v>
      </c>
      <c r="F73" s="469">
        <f>SUM(F41,F42,F55,F71,F72)</f>
        <v>198538182</v>
      </c>
      <c r="G73" s="439">
        <f t="shared" si="13"/>
        <v>100</v>
      </c>
      <c r="H73" s="469">
        <f>SUM(H41,H42,H55,H71,H72)</f>
        <v>233164566</v>
      </c>
      <c r="I73" s="470">
        <f t="shared" si="15"/>
        <v>100</v>
      </c>
      <c r="J73" s="469">
        <f>SUM(J41,J42,J55,J71,J72)</f>
        <v>232590333</v>
      </c>
      <c r="K73" s="471">
        <f t="shared" si="11"/>
        <v>100</v>
      </c>
      <c r="L73" s="472">
        <f t="shared" si="4"/>
        <v>99.4185768739667</v>
      </c>
      <c r="M73" s="470">
        <f t="shared" si="5"/>
        <v>117.44066740774326</v>
      </c>
      <c r="N73" s="473">
        <f t="shared" si="2"/>
        <v>99.753722012803621</v>
      </c>
    </row>
    <row r="74" spans="1:14" s="278" customFormat="1" ht="18" customHeight="1" thickTop="1" thickBot="1" x14ac:dyDescent="0.3">
      <c r="A74" s="406"/>
      <c r="B74" s="407" t="s">
        <v>245</v>
      </c>
      <c r="C74" s="408" t="s">
        <v>209</v>
      </c>
      <c r="D74" s="409">
        <v>22018413</v>
      </c>
      <c r="E74" s="410"/>
      <c r="F74" s="409">
        <v>22900000</v>
      </c>
      <c r="G74" s="410"/>
      <c r="H74" s="411">
        <v>22773206</v>
      </c>
      <c r="I74" s="412"/>
      <c r="J74" s="411">
        <v>22800000</v>
      </c>
      <c r="K74" s="413"/>
      <c r="L74" s="414">
        <f t="shared" si="4"/>
        <v>103.4280081856944</v>
      </c>
      <c r="M74" s="410">
        <f t="shared" si="5"/>
        <v>99.446314410480355</v>
      </c>
      <c r="N74" s="415">
        <f t="shared" si="2"/>
        <v>100.11765581007785</v>
      </c>
    </row>
    <row r="75" spans="1:14" ht="12.75" thickTop="1" x14ac:dyDescent="0.2"/>
    <row r="77" spans="1:14" x14ac:dyDescent="0.2">
      <c r="J77" s="290"/>
    </row>
  </sheetData>
  <mergeCells count="15">
    <mergeCell ref="A1:N1"/>
    <mergeCell ref="A3:N3"/>
    <mergeCell ref="E6:J6"/>
    <mergeCell ref="A7:A9"/>
    <mergeCell ref="B7:C9"/>
    <mergeCell ref="D7:K7"/>
    <mergeCell ref="L7:N8"/>
    <mergeCell ref="D8:E8"/>
    <mergeCell ref="F8:G8"/>
    <mergeCell ref="H8:I8"/>
    <mergeCell ref="J8:K8"/>
    <mergeCell ref="D11:E11"/>
    <mergeCell ref="J11:K11"/>
    <mergeCell ref="D31:E31"/>
    <mergeCell ref="J31:K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4"/>
  <sheetViews>
    <sheetView workbookViewId="0">
      <selection activeCell="E20" sqref="E19:E20"/>
    </sheetView>
  </sheetViews>
  <sheetFormatPr defaultColWidth="8.85546875" defaultRowHeight="13.5" x14ac:dyDescent="0.25"/>
  <cols>
    <col min="1" max="1" width="7.42578125" style="792" customWidth="1"/>
    <col min="2" max="2" width="51.28515625" style="792" customWidth="1"/>
    <col min="3" max="3" width="7.5703125" style="792" customWidth="1"/>
    <col min="4" max="4" width="9.5703125" style="792" customWidth="1"/>
    <col min="5" max="5" width="7.5703125" style="792" customWidth="1"/>
    <col min="6" max="6" width="10" style="792" customWidth="1"/>
    <col min="7" max="7" width="7.5703125" style="792" customWidth="1"/>
    <col min="8" max="8" width="8.5703125" style="792" customWidth="1"/>
    <col min="9" max="9" width="4.28515625" style="792" customWidth="1"/>
    <col min="10" max="10" width="2.85546875" style="792" customWidth="1"/>
    <col min="11" max="11" width="4.7109375" style="792" customWidth="1"/>
    <col min="12" max="16384" width="8.85546875" style="792"/>
  </cols>
  <sheetData>
    <row r="1" spans="1:12" s="780" customFormat="1" x14ac:dyDescent="0.25">
      <c r="A1" s="779"/>
    </row>
    <row r="2" spans="1:12" s="780" customFormat="1" x14ac:dyDescent="0.25"/>
    <row r="3" spans="1:12" s="780" customFormat="1" x14ac:dyDescent="0.25">
      <c r="A3" s="781" t="s">
        <v>246</v>
      </c>
      <c r="B3" s="781"/>
      <c r="C3" s="781"/>
      <c r="D3" s="781"/>
      <c r="E3" s="781"/>
      <c r="F3" s="781"/>
      <c r="G3" s="781"/>
      <c r="H3" s="781"/>
      <c r="I3" s="781"/>
      <c r="J3" s="781"/>
      <c r="K3" s="781"/>
    </row>
    <row r="4" spans="1:12" s="780" customFormat="1" ht="16.5" x14ac:dyDescent="0.25">
      <c r="A4" s="854" t="s">
        <v>585</v>
      </c>
      <c r="B4" s="782"/>
      <c r="D4" s="782"/>
      <c r="E4" s="782"/>
      <c r="F4" s="782"/>
      <c r="K4" s="783"/>
    </row>
    <row r="5" spans="1:12" ht="12.6" customHeight="1" x14ac:dyDescent="0.25">
      <c r="A5" s="742" t="s">
        <v>247</v>
      </c>
      <c r="B5" s="784" t="s">
        <v>248</v>
      </c>
      <c r="C5" s="785" t="s">
        <v>249</v>
      </c>
      <c r="D5" s="786" t="s">
        <v>70</v>
      </c>
      <c r="E5" s="786"/>
      <c r="F5" s="787" t="s">
        <v>250</v>
      </c>
      <c r="G5" s="788"/>
      <c r="H5" s="784"/>
      <c r="I5" s="789" t="s">
        <v>71</v>
      </c>
      <c r="J5" s="790"/>
      <c r="K5" s="791"/>
    </row>
    <row r="6" spans="1:12" ht="51" customHeight="1" x14ac:dyDescent="0.25">
      <c r="A6" s="786"/>
      <c r="B6" s="791"/>
      <c r="C6" s="793"/>
      <c r="D6" s="794" t="s">
        <v>576</v>
      </c>
      <c r="E6" s="794" t="s">
        <v>251</v>
      </c>
      <c r="F6" s="794" t="s">
        <v>252</v>
      </c>
      <c r="G6" s="794" t="s">
        <v>253</v>
      </c>
      <c r="H6" s="794" t="s">
        <v>254</v>
      </c>
      <c r="I6" s="795" t="s">
        <v>9</v>
      </c>
      <c r="J6" s="795" t="s">
        <v>10</v>
      </c>
      <c r="K6" s="795" t="s">
        <v>255</v>
      </c>
    </row>
    <row r="7" spans="1:12" s="9" customFormat="1" ht="9" customHeight="1" x14ac:dyDescent="0.25">
      <c r="A7" s="796">
        <v>1</v>
      </c>
      <c r="B7" s="796">
        <v>2</v>
      </c>
      <c r="C7" s="796">
        <v>3</v>
      </c>
      <c r="D7" s="796">
        <v>4</v>
      </c>
      <c r="E7" s="796">
        <v>5</v>
      </c>
      <c r="F7" s="796">
        <v>6</v>
      </c>
      <c r="G7" s="796">
        <v>7</v>
      </c>
      <c r="H7" s="796">
        <v>8</v>
      </c>
      <c r="I7" s="796">
        <v>9</v>
      </c>
      <c r="J7" s="796">
        <v>10</v>
      </c>
      <c r="K7" s="796">
        <v>11</v>
      </c>
    </row>
    <row r="8" spans="1:12" s="800" customFormat="1" x14ac:dyDescent="0.25">
      <c r="A8" s="797" t="s">
        <v>12</v>
      </c>
      <c r="B8" s="797" t="s">
        <v>256</v>
      </c>
      <c r="C8" s="798">
        <f>SUM(C9:C28)</f>
        <v>65300</v>
      </c>
      <c r="D8" s="798">
        <f>SUM(D9:D28)</f>
        <v>3304758</v>
      </c>
      <c r="E8" s="798">
        <f>SUM(E9:E28)</f>
        <v>0</v>
      </c>
      <c r="F8" s="798">
        <f>SUM(F9:F28)</f>
        <v>2907000</v>
      </c>
      <c r="G8" s="798">
        <f>SUM(G9:G28)</f>
        <v>425000</v>
      </c>
      <c r="H8" s="798">
        <f>+F8+G8</f>
        <v>3332000</v>
      </c>
      <c r="I8" s="798"/>
      <c r="J8" s="799"/>
      <c r="K8" s="798"/>
    </row>
    <row r="9" spans="1:12" ht="28.15" customHeight="1" x14ac:dyDescent="0.25">
      <c r="A9" s="801" t="s">
        <v>14</v>
      </c>
      <c r="B9" s="802" t="s">
        <v>257</v>
      </c>
      <c r="C9" s="803"/>
      <c r="D9" s="804">
        <v>10000</v>
      </c>
      <c r="E9" s="804"/>
      <c r="F9" s="804">
        <v>10000</v>
      </c>
      <c r="G9" s="804"/>
      <c r="H9" s="805">
        <f t="shared" ref="H9:H99" si="0">+F9+G9</f>
        <v>10000</v>
      </c>
      <c r="I9" s="806"/>
      <c r="J9" s="806"/>
      <c r="K9" s="806"/>
      <c r="L9" s="807"/>
    </row>
    <row r="10" spans="1:12" s="811" customFormat="1" x14ac:dyDescent="0.25">
      <c r="A10" s="808" t="s">
        <v>258</v>
      </c>
      <c r="B10" s="808" t="s">
        <v>259</v>
      </c>
      <c r="C10" s="809"/>
      <c r="D10" s="809">
        <v>500</v>
      </c>
      <c r="E10" s="809"/>
      <c r="F10" s="809">
        <v>500</v>
      </c>
      <c r="G10" s="809"/>
      <c r="H10" s="809">
        <f>+F10+G10</f>
        <v>500</v>
      </c>
      <c r="I10" s="810"/>
      <c r="J10" s="810"/>
      <c r="K10" s="810"/>
    </row>
    <row r="11" spans="1:12" s="811" customFormat="1" x14ac:dyDescent="0.25">
      <c r="A11" s="808" t="s">
        <v>260</v>
      </c>
      <c r="B11" s="808" t="s">
        <v>261</v>
      </c>
      <c r="C11" s="809"/>
      <c r="D11" s="809">
        <v>350000</v>
      </c>
      <c r="E11" s="809"/>
      <c r="F11" s="809">
        <v>350000</v>
      </c>
      <c r="G11" s="809"/>
      <c r="H11" s="809">
        <f>+F11+G11</f>
        <v>350000</v>
      </c>
      <c r="I11" s="810"/>
      <c r="J11" s="810"/>
      <c r="K11" s="810"/>
    </row>
    <row r="12" spans="1:12" s="811" customFormat="1" x14ac:dyDescent="0.25">
      <c r="A12" s="808" t="s">
        <v>262</v>
      </c>
      <c r="B12" s="808" t="s">
        <v>263</v>
      </c>
      <c r="C12" s="809"/>
      <c r="D12" s="809">
        <v>432000</v>
      </c>
      <c r="E12" s="809"/>
      <c r="F12" s="809">
        <v>432000</v>
      </c>
      <c r="G12" s="809"/>
      <c r="H12" s="809">
        <f>+F12+G12</f>
        <v>432000</v>
      </c>
      <c r="I12" s="810"/>
      <c r="J12" s="810"/>
      <c r="K12" s="810"/>
    </row>
    <row r="13" spans="1:12" s="811" customFormat="1" x14ac:dyDescent="0.25">
      <c r="A13" s="808" t="s">
        <v>264</v>
      </c>
      <c r="B13" s="808" t="s">
        <v>265</v>
      </c>
      <c r="C13" s="809"/>
      <c r="D13" s="809">
        <v>226934</v>
      </c>
      <c r="E13" s="809"/>
      <c r="F13" s="809">
        <v>227000</v>
      </c>
      <c r="G13" s="809"/>
      <c r="H13" s="809">
        <f>+F13+G13</f>
        <v>227000</v>
      </c>
      <c r="I13" s="810"/>
      <c r="J13" s="810"/>
      <c r="K13" s="810"/>
    </row>
    <row r="14" spans="1:12" s="811" customFormat="1" x14ac:dyDescent="0.25">
      <c r="A14" s="808" t="s">
        <v>266</v>
      </c>
      <c r="B14" s="808" t="s">
        <v>267</v>
      </c>
      <c r="C14" s="809"/>
      <c r="D14" s="809">
        <v>33000</v>
      </c>
      <c r="E14" s="809"/>
      <c r="F14" s="809">
        <v>33000</v>
      </c>
      <c r="G14" s="809"/>
      <c r="H14" s="809">
        <f t="shared" ref="H14:H15" si="1">+F14+G14</f>
        <v>33000</v>
      </c>
      <c r="I14" s="810"/>
      <c r="J14" s="810"/>
      <c r="K14" s="810"/>
    </row>
    <row r="15" spans="1:12" ht="39.75" customHeight="1" x14ac:dyDescent="0.25">
      <c r="A15" s="812" t="s">
        <v>268</v>
      </c>
      <c r="B15" s="813" t="s">
        <v>269</v>
      </c>
      <c r="C15" s="809"/>
      <c r="D15" s="814">
        <v>1000</v>
      </c>
      <c r="E15" s="809"/>
      <c r="F15" s="809"/>
      <c r="G15" s="814">
        <v>300000</v>
      </c>
      <c r="H15" s="814">
        <f t="shared" si="1"/>
        <v>300000</v>
      </c>
      <c r="I15" s="809"/>
      <c r="J15" s="809"/>
      <c r="K15" s="809"/>
      <c r="L15" s="807"/>
    </row>
    <row r="16" spans="1:12" s="811" customFormat="1" x14ac:dyDescent="0.25">
      <c r="A16" s="808" t="s">
        <v>270</v>
      </c>
      <c r="B16" s="808" t="s">
        <v>271</v>
      </c>
      <c r="C16" s="809"/>
      <c r="D16" s="809">
        <v>26000</v>
      </c>
      <c r="E16" s="809"/>
      <c r="F16" s="809">
        <v>26000</v>
      </c>
      <c r="G16" s="809"/>
      <c r="H16" s="809">
        <f t="shared" si="0"/>
        <v>26000</v>
      </c>
      <c r="I16" s="810"/>
      <c r="J16" s="810"/>
      <c r="K16" s="810"/>
    </row>
    <row r="17" spans="1:12" s="811" customFormat="1" x14ac:dyDescent="0.25">
      <c r="A17" s="808" t="s">
        <v>272</v>
      </c>
      <c r="B17" s="808" t="s">
        <v>273</v>
      </c>
      <c r="C17" s="809">
        <v>15047</v>
      </c>
      <c r="D17" s="809">
        <v>5000</v>
      </c>
      <c r="E17" s="809"/>
      <c r="F17" s="809">
        <v>5000</v>
      </c>
      <c r="G17" s="809"/>
      <c r="H17" s="809">
        <f t="shared" si="0"/>
        <v>5000</v>
      </c>
      <c r="I17" s="810"/>
      <c r="J17" s="810"/>
      <c r="K17" s="810"/>
    </row>
    <row r="18" spans="1:12" s="811" customFormat="1" x14ac:dyDescent="0.25">
      <c r="A18" s="808" t="s">
        <v>274</v>
      </c>
      <c r="B18" s="808" t="s">
        <v>275</v>
      </c>
      <c r="C18" s="809"/>
      <c r="D18" s="815">
        <v>1996824</v>
      </c>
      <c r="E18" s="815"/>
      <c r="F18" s="815">
        <v>1600000</v>
      </c>
      <c r="G18" s="809"/>
      <c r="H18" s="815">
        <f t="shared" si="0"/>
        <v>1600000</v>
      </c>
      <c r="I18" s="810"/>
      <c r="J18" s="810"/>
      <c r="K18" s="810"/>
    </row>
    <row r="19" spans="1:12" s="811" customFormat="1" x14ac:dyDescent="0.25">
      <c r="A19" s="808" t="s">
        <v>276</v>
      </c>
      <c r="B19" s="808" t="s">
        <v>277</v>
      </c>
      <c r="C19" s="809"/>
      <c r="D19" s="809">
        <v>66000</v>
      </c>
      <c r="E19" s="809"/>
      <c r="F19" s="809">
        <v>66000</v>
      </c>
      <c r="G19" s="809"/>
      <c r="H19" s="809">
        <f t="shared" si="0"/>
        <v>66000</v>
      </c>
      <c r="I19" s="810"/>
      <c r="J19" s="810"/>
      <c r="K19" s="810"/>
    </row>
    <row r="20" spans="1:12" s="811" customFormat="1" x14ac:dyDescent="0.25">
      <c r="A20" s="808" t="s">
        <v>278</v>
      </c>
      <c r="B20" s="808" t="s">
        <v>279</v>
      </c>
      <c r="C20" s="809"/>
      <c r="D20" s="809">
        <v>26500</v>
      </c>
      <c r="E20" s="809"/>
      <c r="F20" s="809">
        <v>26500</v>
      </c>
      <c r="G20" s="809"/>
      <c r="H20" s="809">
        <f t="shared" si="0"/>
        <v>26500</v>
      </c>
      <c r="I20" s="810"/>
      <c r="J20" s="810"/>
      <c r="K20" s="810"/>
    </row>
    <row r="21" spans="1:12" s="811" customFormat="1" x14ac:dyDescent="0.25">
      <c r="A21" s="808" t="s">
        <v>280</v>
      </c>
      <c r="B21" s="808" t="s">
        <v>281</v>
      </c>
      <c r="C21" s="809"/>
      <c r="D21" s="809">
        <v>10000</v>
      </c>
      <c r="E21" s="809"/>
      <c r="F21" s="809">
        <v>10000</v>
      </c>
      <c r="G21" s="809"/>
      <c r="H21" s="809">
        <f t="shared" si="0"/>
        <v>10000</v>
      </c>
      <c r="I21" s="810"/>
      <c r="J21" s="810"/>
      <c r="K21" s="810"/>
    </row>
    <row r="22" spans="1:12" s="811" customFormat="1" x14ac:dyDescent="0.25">
      <c r="A22" s="808" t="s">
        <v>282</v>
      </c>
      <c r="B22" s="808" t="s">
        <v>283</v>
      </c>
      <c r="C22" s="809"/>
      <c r="D22" s="809">
        <v>100000</v>
      </c>
      <c r="E22" s="809"/>
      <c r="F22" s="809">
        <v>100000</v>
      </c>
      <c r="G22" s="809"/>
      <c r="H22" s="809">
        <f t="shared" si="0"/>
        <v>100000</v>
      </c>
      <c r="I22" s="810"/>
      <c r="J22" s="810"/>
      <c r="K22" s="810"/>
    </row>
    <row r="23" spans="1:12" s="811" customFormat="1" x14ac:dyDescent="0.25">
      <c r="A23" s="808" t="s">
        <v>284</v>
      </c>
      <c r="B23" s="808" t="s">
        <v>285</v>
      </c>
      <c r="C23" s="809"/>
      <c r="D23" s="809">
        <v>21000</v>
      </c>
      <c r="E23" s="809"/>
      <c r="F23" s="809">
        <v>21000</v>
      </c>
      <c r="G23" s="809"/>
      <c r="H23" s="809">
        <f t="shared" si="0"/>
        <v>21000</v>
      </c>
      <c r="I23" s="810"/>
      <c r="J23" s="810"/>
      <c r="K23" s="810"/>
    </row>
    <row r="24" spans="1:12" s="811" customFormat="1" x14ac:dyDescent="0.25">
      <c r="A24" s="808" t="s">
        <v>286</v>
      </c>
      <c r="B24" s="808" t="s">
        <v>287</v>
      </c>
      <c r="C24" s="809">
        <v>1274</v>
      </c>
      <c r="D24" s="809"/>
      <c r="E24" s="809"/>
      <c r="F24" s="809"/>
      <c r="G24" s="809">
        <v>25000</v>
      </c>
      <c r="H24" s="809">
        <f t="shared" si="0"/>
        <v>25000</v>
      </c>
      <c r="I24" s="810"/>
      <c r="J24" s="810"/>
      <c r="K24" s="810"/>
    </row>
    <row r="25" spans="1:12" s="811" customFormat="1" x14ac:dyDescent="0.25">
      <c r="A25" s="808" t="s">
        <v>288</v>
      </c>
      <c r="B25" s="808" t="s">
        <v>289</v>
      </c>
      <c r="C25" s="809"/>
      <c r="D25" s="809"/>
      <c r="E25" s="809"/>
      <c r="F25" s="809"/>
      <c r="G25" s="809">
        <v>50000</v>
      </c>
      <c r="H25" s="809">
        <f t="shared" si="0"/>
        <v>50000</v>
      </c>
      <c r="I25" s="810"/>
      <c r="J25" s="810"/>
      <c r="K25" s="810"/>
    </row>
    <row r="26" spans="1:12" s="811" customFormat="1" x14ac:dyDescent="0.25">
      <c r="A26" s="808" t="s">
        <v>290</v>
      </c>
      <c r="B26" s="808" t="s">
        <v>291</v>
      </c>
      <c r="C26" s="809"/>
      <c r="D26" s="809"/>
      <c r="E26" s="809"/>
      <c r="F26" s="809"/>
      <c r="G26" s="809">
        <v>50000</v>
      </c>
      <c r="H26" s="809">
        <f t="shared" si="0"/>
        <v>50000</v>
      </c>
      <c r="I26" s="810"/>
      <c r="J26" s="810"/>
      <c r="K26" s="810"/>
    </row>
    <row r="27" spans="1:12" s="811" customFormat="1" x14ac:dyDescent="0.25">
      <c r="A27" s="808" t="s">
        <v>292</v>
      </c>
      <c r="B27" s="808" t="s">
        <v>293</v>
      </c>
      <c r="C27" s="809">
        <v>20934</v>
      </c>
      <c r="D27" s="809"/>
      <c r="E27" s="809"/>
      <c r="F27" s="809"/>
      <c r="G27" s="809"/>
      <c r="H27" s="809">
        <f t="shared" si="0"/>
        <v>0</v>
      </c>
      <c r="I27" s="810"/>
      <c r="J27" s="810"/>
      <c r="K27" s="810"/>
    </row>
    <row r="28" spans="1:12" ht="13.9" customHeight="1" x14ac:dyDescent="0.25">
      <c r="A28" s="812" t="s">
        <v>294</v>
      </c>
      <c r="B28" s="816" t="s">
        <v>295</v>
      </c>
      <c r="C28" s="809">
        <v>28045</v>
      </c>
      <c r="D28" s="809"/>
      <c r="E28" s="809"/>
      <c r="F28" s="809"/>
      <c r="G28" s="809"/>
      <c r="H28" s="809">
        <f t="shared" si="0"/>
        <v>0</v>
      </c>
      <c r="I28" s="815"/>
      <c r="J28" s="815"/>
      <c r="K28" s="815"/>
      <c r="L28" s="807"/>
    </row>
    <row r="29" spans="1:12" s="800" customFormat="1" x14ac:dyDescent="0.25">
      <c r="A29" s="817" t="s">
        <v>17</v>
      </c>
      <c r="B29" s="817" t="s">
        <v>296</v>
      </c>
      <c r="C29" s="818">
        <f>+C30+C69</f>
        <v>42737</v>
      </c>
      <c r="D29" s="818">
        <f>+D30+D69+D80</f>
        <v>747552</v>
      </c>
      <c r="E29" s="818">
        <f>+E30+E69+E80</f>
        <v>348918</v>
      </c>
      <c r="F29" s="818">
        <f>+F30+F69+F80</f>
        <v>384694</v>
      </c>
      <c r="G29" s="818">
        <f>+G30+G69+G80</f>
        <v>343260</v>
      </c>
      <c r="H29" s="818">
        <f t="shared" si="0"/>
        <v>727954</v>
      </c>
      <c r="I29" s="818">
        <f t="shared" ref="I29:I85" si="2">+E29/C29*100</f>
        <v>816.43072747268184</v>
      </c>
      <c r="J29" s="818">
        <f t="shared" ref="J29:J92" si="3">+E29/D29*100</f>
        <v>46.674746372158729</v>
      </c>
      <c r="K29" s="818">
        <f t="shared" ref="K29:K92" si="4">+H29/E29*100</f>
        <v>208.63182753540946</v>
      </c>
      <c r="L29" s="819"/>
    </row>
    <row r="30" spans="1:12" x14ac:dyDescent="0.25">
      <c r="A30" s="820" t="s">
        <v>19</v>
      </c>
      <c r="B30" s="821" t="s">
        <v>297</v>
      </c>
      <c r="C30" s="822">
        <f>+C31+C40+C46+C51+C52</f>
        <v>35154</v>
      </c>
      <c r="D30" s="822">
        <f>+D31+D40+D46+D51+D52</f>
        <v>528827</v>
      </c>
      <c r="E30" s="822">
        <f>+E31+E40+E46+E51+E52</f>
        <v>264867</v>
      </c>
      <c r="F30" s="822">
        <f>+F31+F40+F46+F51+F52</f>
        <v>256266</v>
      </c>
      <c r="G30" s="822">
        <f>+G31+G40+G46+G51+G52</f>
        <v>235730</v>
      </c>
      <c r="H30" s="822">
        <f t="shared" si="0"/>
        <v>491996</v>
      </c>
      <c r="I30" s="822">
        <f t="shared" si="2"/>
        <v>753.44768731865508</v>
      </c>
      <c r="J30" s="822">
        <f t="shared" si="3"/>
        <v>50.08575583319309</v>
      </c>
      <c r="K30" s="822">
        <f t="shared" si="4"/>
        <v>185.7520944474019</v>
      </c>
    </row>
    <row r="31" spans="1:12" x14ac:dyDescent="0.25">
      <c r="A31" s="823" t="s">
        <v>298</v>
      </c>
      <c r="B31" s="808" t="s">
        <v>299</v>
      </c>
      <c r="C31" s="809">
        <f>+C32+C33+C37+C39</f>
        <v>21217</v>
      </c>
      <c r="D31" s="809">
        <f>+D32+D33+D37+D39</f>
        <v>52500</v>
      </c>
      <c r="E31" s="809">
        <f>+E32+E33+E37+E39</f>
        <v>18301</v>
      </c>
      <c r="F31" s="809">
        <f>+F32+F33+F37+F39</f>
        <v>31974</v>
      </c>
      <c r="G31" s="809">
        <f>+G32+G33+G37+G39</f>
        <v>17000</v>
      </c>
      <c r="H31" s="809">
        <f t="shared" si="0"/>
        <v>48974</v>
      </c>
      <c r="I31" s="809">
        <f t="shared" si="2"/>
        <v>86.256303907244188</v>
      </c>
      <c r="J31" s="809">
        <f t="shared" si="3"/>
        <v>34.859047619047615</v>
      </c>
      <c r="K31" s="809">
        <f t="shared" si="4"/>
        <v>267.6028632315174</v>
      </c>
    </row>
    <row r="32" spans="1:12" s="811" customFormat="1" x14ac:dyDescent="0.25">
      <c r="A32" s="824" t="s">
        <v>300</v>
      </c>
      <c r="B32" s="824" t="s">
        <v>577</v>
      </c>
      <c r="C32" s="810"/>
      <c r="D32" s="810">
        <v>0</v>
      </c>
      <c r="E32" s="810"/>
      <c r="F32" s="810"/>
      <c r="G32" s="810"/>
      <c r="H32" s="809">
        <f t="shared" si="0"/>
        <v>0</v>
      </c>
      <c r="I32" s="810"/>
      <c r="J32" s="810"/>
      <c r="K32" s="810"/>
    </row>
    <row r="33" spans="1:13" x14ac:dyDescent="0.25">
      <c r="A33" s="808" t="s">
        <v>302</v>
      </c>
      <c r="B33" s="824" t="s">
        <v>578</v>
      </c>
      <c r="C33" s="810">
        <f>+SUM(C34:C36)</f>
        <v>21217</v>
      </c>
      <c r="D33" s="810">
        <f>+SUM(D34:D36)</f>
        <v>34500</v>
      </c>
      <c r="E33" s="825">
        <f>+SUM(E34:E36)</f>
        <v>15399</v>
      </c>
      <c r="F33" s="810">
        <f>+SUM(F34:F36)</f>
        <v>15101</v>
      </c>
      <c r="G33" s="810">
        <f>+SUM(G34:G36)</f>
        <v>15000</v>
      </c>
      <c r="H33" s="810">
        <f t="shared" si="0"/>
        <v>30101</v>
      </c>
      <c r="I33" s="810">
        <f t="shared" si="2"/>
        <v>72.578592637978971</v>
      </c>
      <c r="J33" s="810">
        <f t="shared" si="3"/>
        <v>44.634782608695652</v>
      </c>
      <c r="K33" s="810">
        <f t="shared" si="4"/>
        <v>195.47373206052342</v>
      </c>
      <c r="L33" s="807"/>
      <c r="M33" s="807"/>
    </row>
    <row r="34" spans="1:13" x14ac:dyDescent="0.25">
      <c r="A34" s="808" t="s">
        <v>304</v>
      </c>
      <c r="B34" s="808" t="s">
        <v>579</v>
      </c>
      <c r="C34" s="809">
        <v>21217</v>
      </c>
      <c r="D34" s="809">
        <v>25000</v>
      </c>
      <c r="E34" s="826">
        <v>15399</v>
      </c>
      <c r="F34" s="809">
        <v>9601</v>
      </c>
      <c r="G34" s="809">
        <v>15000</v>
      </c>
      <c r="H34" s="809">
        <f t="shared" si="0"/>
        <v>24601</v>
      </c>
      <c r="I34" s="809">
        <f t="shared" si="2"/>
        <v>72.578592637978971</v>
      </c>
      <c r="J34" s="809">
        <f t="shared" si="3"/>
        <v>61.595999999999997</v>
      </c>
      <c r="K34" s="809">
        <f t="shared" si="4"/>
        <v>159.75712708617442</v>
      </c>
      <c r="L34" s="807"/>
      <c r="M34" s="807"/>
    </row>
    <row r="35" spans="1:13" x14ac:dyDescent="0.25">
      <c r="A35" s="808" t="s">
        <v>306</v>
      </c>
      <c r="B35" s="827" t="s">
        <v>307</v>
      </c>
      <c r="C35" s="815"/>
      <c r="D35" s="815">
        <v>500</v>
      </c>
      <c r="E35" s="828"/>
      <c r="F35" s="815">
        <v>500</v>
      </c>
      <c r="G35" s="815"/>
      <c r="H35" s="809">
        <f t="shared" si="0"/>
        <v>500</v>
      </c>
      <c r="I35" s="809"/>
      <c r="J35" s="809"/>
      <c r="K35" s="809"/>
      <c r="L35" s="807"/>
      <c r="M35" s="807"/>
    </row>
    <row r="36" spans="1:13" x14ac:dyDescent="0.25">
      <c r="A36" s="808" t="s">
        <v>308</v>
      </c>
      <c r="B36" s="827" t="s">
        <v>309</v>
      </c>
      <c r="C36" s="815"/>
      <c r="D36" s="815">
        <v>9000</v>
      </c>
      <c r="E36" s="828"/>
      <c r="F36" s="815">
        <v>5000</v>
      </c>
      <c r="G36" s="815"/>
      <c r="H36" s="809">
        <f t="shared" si="0"/>
        <v>5000</v>
      </c>
      <c r="I36" s="809"/>
      <c r="J36" s="809"/>
      <c r="K36" s="809"/>
      <c r="L36" s="807"/>
      <c r="M36" s="807"/>
    </row>
    <row r="37" spans="1:13" s="811" customFormat="1" x14ac:dyDescent="0.25">
      <c r="A37" s="824" t="s">
        <v>310</v>
      </c>
      <c r="B37" s="829" t="s">
        <v>580</v>
      </c>
      <c r="C37" s="830"/>
      <c r="D37" s="830">
        <f>D38</f>
        <v>18000</v>
      </c>
      <c r="E37" s="831">
        <f>E38</f>
        <v>1127</v>
      </c>
      <c r="F37" s="830">
        <f>F38</f>
        <v>16873</v>
      </c>
      <c r="G37" s="830">
        <f>G38</f>
        <v>2000</v>
      </c>
      <c r="H37" s="810">
        <f t="shared" si="0"/>
        <v>18873</v>
      </c>
      <c r="I37" s="810"/>
      <c r="J37" s="810">
        <f t="shared" si="3"/>
        <v>6.261111111111112</v>
      </c>
      <c r="K37" s="810">
        <f t="shared" si="4"/>
        <v>1674.6228926353151</v>
      </c>
      <c r="M37" s="807"/>
    </row>
    <row r="38" spans="1:13" x14ac:dyDescent="0.25">
      <c r="A38" s="808" t="s">
        <v>312</v>
      </c>
      <c r="B38" s="827" t="s">
        <v>313</v>
      </c>
      <c r="C38" s="815"/>
      <c r="D38" s="815">
        <v>18000</v>
      </c>
      <c r="E38" s="828">
        <v>1127</v>
      </c>
      <c r="F38" s="815">
        <f>D38-E38</f>
        <v>16873</v>
      </c>
      <c r="G38" s="815">
        <v>2000</v>
      </c>
      <c r="H38" s="809">
        <f t="shared" si="0"/>
        <v>18873</v>
      </c>
      <c r="I38" s="809"/>
      <c r="J38" s="809">
        <f t="shared" si="3"/>
        <v>6.261111111111112</v>
      </c>
      <c r="K38" s="809">
        <f t="shared" si="4"/>
        <v>1674.6228926353151</v>
      </c>
      <c r="L38" s="807"/>
      <c r="M38" s="807"/>
    </row>
    <row r="39" spans="1:13" s="811" customFormat="1" x14ac:dyDescent="0.25">
      <c r="A39" s="824" t="s">
        <v>314</v>
      </c>
      <c r="B39" s="829" t="s">
        <v>581</v>
      </c>
      <c r="C39" s="830"/>
      <c r="D39" s="830"/>
      <c r="E39" s="831">
        <v>1775</v>
      </c>
      <c r="F39" s="830"/>
      <c r="G39" s="830"/>
      <c r="H39" s="809">
        <f t="shared" si="0"/>
        <v>0</v>
      </c>
      <c r="I39" s="810"/>
      <c r="J39" s="810"/>
      <c r="K39" s="810"/>
      <c r="M39" s="807"/>
    </row>
    <row r="40" spans="1:13" x14ac:dyDescent="0.25">
      <c r="A40" s="823" t="s">
        <v>316</v>
      </c>
      <c r="B40" s="808" t="s">
        <v>317</v>
      </c>
      <c r="C40" s="809">
        <f>SUM(C41:C45)</f>
        <v>0</v>
      </c>
      <c r="D40" s="809">
        <f t="shared" ref="D40:H40" si="5">SUM(D41:D45)</f>
        <v>6200</v>
      </c>
      <c r="E40" s="826">
        <f t="shared" si="5"/>
        <v>0</v>
      </c>
      <c r="F40" s="809">
        <f t="shared" si="5"/>
        <v>3500</v>
      </c>
      <c r="G40" s="809">
        <f t="shared" si="5"/>
        <v>5000</v>
      </c>
      <c r="H40" s="809">
        <f t="shared" si="5"/>
        <v>8500</v>
      </c>
      <c r="I40" s="809"/>
      <c r="J40" s="809"/>
      <c r="K40" s="809"/>
      <c r="L40" s="807"/>
      <c r="M40" s="807"/>
    </row>
    <row r="41" spans="1:13" x14ac:dyDescent="0.25">
      <c r="A41" s="832" t="s">
        <v>318</v>
      </c>
      <c r="B41" s="824" t="s">
        <v>319</v>
      </c>
      <c r="C41" s="810"/>
      <c r="D41" s="810">
        <v>500</v>
      </c>
      <c r="E41" s="825"/>
      <c r="F41" s="810">
        <v>500</v>
      </c>
      <c r="G41" s="810">
        <v>4500</v>
      </c>
      <c r="H41" s="810">
        <f t="shared" si="0"/>
        <v>5000</v>
      </c>
      <c r="I41" s="810"/>
      <c r="J41" s="810"/>
      <c r="K41" s="809"/>
      <c r="M41" s="807"/>
    </row>
    <row r="42" spans="1:13" x14ac:dyDescent="0.25">
      <c r="A42" s="832" t="s">
        <v>320</v>
      </c>
      <c r="B42" s="824" t="s">
        <v>321</v>
      </c>
      <c r="C42" s="810"/>
      <c r="D42" s="810">
        <v>500</v>
      </c>
      <c r="E42" s="825"/>
      <c r="F42" s="810">
        <v>500</v>
      </c>
      <c r="G42" s="810"/>
      <c r="H42" s="810">
        <f t="shared" si="0"/>
        <v>500</v>
      </c>
      <c r="I42" s="810"/>
      <c r="J42" s="810"/>
      <c r="K42" s="809"/>
      <c r="M42" s="807"/>
    </row>
    <row r="43" spans="1:13" x14ac:dyDescent="0.25">
      <c r="A43" s="832" t="s">
        <v>322</v>
      </c>
      <c r="B43" s="824" t="s">
        <v>323</v>
      </c>
      <c r="C43" s="810"/>
      <c r="D43" s="810">
        <v>2500</v>
      </c>
      <c r="E43" s="825"/>
      <c r="F43" s="810"/>
      <c r="G43" s="810"/>
      <c r="H43" s="810">
        <f t="shared" si="0"/>
        <v>0</v>
      </c>
      <c r="I43" s="810"/>
      <c r="J43" s="810"/>
      <c r="K43" s="809"/>
      <c r="L43" s="807"/>
      <c r="M43" s="807"/>
    </row>
    <row r="44" spans="1:13" x14ac:dyDescent="0.25">
      <c r="A44" s="832" t="s">
        <v>324</v>
      </c>
      <c r="B44" s="824" t="s">
        <v>325</v>
      </c>
      <c r="C44" s="810"/>
      <c r="D44" s="810">
        <v>2500</v>
      </c>
      <c r="E44" s="825"/>
      <c r="F44" s="810">
        <v>2500</v>
      </c>
      <c r="G44" s="810">
        <v>500</v>
      </c>
      <c r="H44" s="810">
        <f t="shared" si="0"/>
        <v>3000</v>
      </c>
      <c r="I44" s="810"/>
      <c r="J44" s="810"/>
      <c r="K44" s="809"/>
      <c r="L44" s="807"/>
      <c r="M44" s="807"/>
    </row>
    <row r="45" spans="1:13" x14ac:dyDescent="0.25">
      <c r="A45" s="832" t="s">
        <v>326</v>
      </c>
      <c r="B45" s="824" t="s">
        <v>327</v>
      </c>
      <c r="C45" s="810"/>
      <c r="D45" s="810">
        <v>200</v>
      </c>
      <c r="E45" s="825"/>
      <c r="F45" s="810"/>
      <c r="G45" s="810"/>
      <c r="H45" s="810">
        <f t="shared" si="0"/>
        <v>0</v>
      </c>
      <c r="I45" s="810"/>
      <c r="J45" s="810"/>
      <c r="K45" s="809"/>
      <c r="L45" s="807"/>
      <c r="M45" s="807"/>
    </row>
    <row r="46" spans="1:13" x14ac:dyDescent="0.25">
      <c r="A46" s="823" t="s">
        <v>328</v>
      </c>
      <c r="B46" s="808" t="s">
        <v>329</v>
      </c>
      <c r="C46" s="809">
        <f>+C48+C50+C47+C49</f>
        <v>6196</v>
      </c>
      <c r="D46" s="809">
        <f t="shared" ref="D46:G46" si="6">+D48+D50+D47+D49</f>
        <v>38000</v>
      </c>
      <c r="E46" s="826">
        <f t="shared" si="6"/>
        <v>5113</v>
      </c>
      <c r="F46" s="809">
        <f>+F48+F50+F47+F49</f>
        <v>27887</v>
      </c>
      <c r="G46" s="809">
        <f t="shared" si="6"/>
        <v>4000</v>
      </c>
      <c r="H46" s="809">
        <f t="shared" si="0"/>
        <v>31887</v>
      </c>
      <c r="I46" s="809">
        <f t="shared" si="2"/>
        <v>82.520981278244037</v>
      </c>
      <c r="J46" s="809">
        <f t="shared" si="3"/>
        <v>13.455263157894738</v>
      </c>
      <c r="K46" s="809">
        <f t="shared" si="4"/>
        <v>623.64560923137105</v>
      </c>
      <c r="L46" s="807"/>
      <c r="M46" s="807"/>
    </row>
    <row r="47" spans="1:13" s="811" customFormat="1" x14ac:dyDescent="0.25">
      <c r="A47" s="824" t="s">
        <v>330</v>
      </c>
      <c r="B47" s="824" t="s">
        <v>331</v>
      </c>
      <c r="C47" s="810"/>
      <c r="D47" s="810">
        <v>5000</v>
      </c>
      <c r="E47" s="825"/>
      <c r="F47" s="810"/>
      <c r="G47" s="810">
        <v>2000</v>
      </c>
      <c r="H47" s="810">
        <f t="shared" si="0"/>
        <v>2000</v>
      </c>
      <c r="I47" s="810"/>
      <c r="J47" s="810"/>
      <c r="K47" s="810"/>
      <c r="L47" s="807"/>
      <c r="M47" s="807"/>
    </row>
    <row r="48" spans="1:13" s="811" customFormat="1" x14ac:dyDescent="0.25">
      <c r="A48" s="824" t="s">
        <v>332</v>
      </c>
      <c r="B48" s="824" t="s">
        <v>333</v>
      </c>
      <c r="C48" s="810">
        <v>4482</v>
      </c>
      <c r="D48" s="810">
        <v>25000</v>
      </c>
      <c r="E48" s="825">
        <v>3608</v>
      </c>
      <c r="F48" s="810">
        <v>21392</v>
      </c>
      <c r="G48" s="810"/>
      <c r="H48" s="810">
        <f>+F48+G48</f>
        <v>21392</v>
      </c>
      <c r="I48" s="810">
        <f t="shared" si="2"/>
        <v>80.499776885319051</v>
      </c>
      <c r="J48" s="810">
        <f t="shared" si="3"/>
        <v>14.432</v>
      </c>
      <c r="K48" s="810">
        <f t="shared" si="4"/>
        <v>592.90465631929044</v>
      </c>
      <c r="L48" s="807"/>
      <c r="M48" s="807"/>
    </row>
    <row r="49" spans="1:13" s="811" customFormat="1" x14ac:dyDescent="0.25">
      <c r="A49" s="824" t="s">
        <v>334</v>
      </c>
      <c r="B49" s="824" t="s">
        <v>335</v>
      </c>
      <c r="C49" s="810">
        <v>1714</v>
      </c>
      <c r="D49" s="810">
        <v>6000</v>
      </c>
      <c r="E49" s="825"/>
      <c r="F49" s="810">
        <v>6000</v>
      </c>
      <c r="G49" s="810"/>
      <c r="H49" s="810">
        <f>+F49+G49</f>
        <v>6000</v>
      </c>
      <c r="I49" s="810"/>
      <c r="J49" s="810"/>
      <c r="K49" s="810"/>
      <c r="L49" s="807"/>
      <c r="M49" s="807"/>
    </row>
    <row r="50" spans="1:13" s="811" customFormat="1" x14ac:dyDescent="0.25">
      <c r="A50" s="824" t="s">
        <v>336</v>
      </c>
      <c r="B50" s="824" t="s">
        <v>337</v>
      </c>
      <c r="C50" s="810"/>
      <c r="D50" s="810">
        <v>2000</v>
      </c>
      <c r="E50" s="825">
        <v>1505</v>
      </c>
      <c r="F50" s="810">
        <v>495</v>
      </c>
      <c r="G50" s="810">
        <v>2000</v>
      </c>
      <c r="H50" s="810">
        <f>+F50+G50</f>
        <v>2495</v>
      </c>
      <c r="I50" s="810"/>
      <c r="J50" s="810">
        <f t="shared" si="3"/>
        <v>75.25</v>
      </c>
      <c r="K50" s="810">
        <f t="shared" si="4"/>
        <v>165.78073089700999</v>
      </c>
      <c r="L50" s="807"/>
      <c r="M50" s="807"/>
    </row>
    <row r="51" spans="1:13" x14ac:dyDescent="0.25">
      <c r="A51" s="823" t="s">
        <v>338</v>
      </c>
      <c r="B51" s="808" t="s">
        <v>339</v>
      </c>
      <c r="C51" s="809"/>
      <c r="D51" s="809">
        <v>1000</v>
      </c>
      <c r="E51" s="826">
        <v>730</v>
      </c>
      <c r="F51" s="809">
        <v>270</v>
      </c>
      <c r="G51" s="809">
        <v>1230</v>
      </c>
      <c r="H51" s="809">
        <f t="shared" si="0"/>
        <v>1500</v>
      </c>
      <c r="I51" s="809"/>
      <c r="J51" s="809">
        <f t="shared" si="3"/>
        <v>73</v>
      </c>
      <c r="K51" s="809">
        <f t="shared" si="4"/>
        <v>205.47945205479454</v>
      </c>
      <c r="L51" s="807"/>
      <c r="M51" s="807"/>
    </row>
    <row r="52" spans="1:13" x14ac:dyDescent="0.25">
      <c r="A52" s="823" t="s">
        <v>340</v>
      </c>
      <c r="B52" s="808" t="s">
        <v>341</v>
      </c>
      <c r="C52" s="809">
        <f>SUM(C53:C68)</f>
        <v>7741</v>
      </c>
      <c r="D52" s="809">
        <f>SUM(D53:D66)</f>
        <v>431127</v>
      </c>
      <c r="E52" s="826">
        <f>SUM(E53:E66)</f>
        <v>240723</v>
      </c>
      <c r="F52" s="809">
        <f>SUM(F53:F66)</f>
        <v>192635</v>
      </c>
      <c r="G52" s="809">
        <f>SUM(G53:G66)</f>
        <v>208500</v>
      </c>
      <c r="H52" s="809">
        <f t="shared" si="0"/>
        <v>401135</v>
      </c>
      <c r="I52" s="809">
        <f t="shared" si="2"/>
        <v>3109.7145071696164</v>
      </c>
      <c r="J52" s="809">
        <f t="shared" si="3"/>
        <v>55.835751414316427</v>
      </c>
      <c r="K52" s="809">
        <f t="shared" si="4"/>
        <v>166.63758760068629</v>
      </c>
      <c r="L52" s="807"/>
      <c r="M52" s="807"/>
    </row>
    <row r="53" spans="1:13" s="811" customFormat="1" x14ac:dyDescent="0.25">
      <c r="A53" s="833" t="s">
        <v>342</v>
      </c>
      <c r="B53" s="824" t="s">
        <v>343</v>
      </c>
      <c r="C53" s="810"/>
      <c r="D53" s="810">
        <v>500</v>
      </c>
      <c r="E53" s="825"/>
      <c r="F53" s="810">
        <v>500</v>
      </c>
      <c r="G53" s="810">
        <v>24500</v>
      </c>
      <c r="H53" s="810">
        <f>+F53+G53</f>
        <v>25000</v>
      </c>
      <c r="I53" s="810"/>
      <c r="J53" s="810"/>
      <c r="K53" s="810"/>
      <c r="L53" s="807"/>
      <c r="M53" s="807"/>
    </row>
    <row r="54" spans="1:13" s="811" customFormat="1" x14ac:dyDescent="0.25">
      <c r="A54" s="833" t="s">
        <v>344</v>
      </c>
      <c r="B54" s="824" t="s">
        <v>582</v>
      </c>
      <c r="C54" s="810"/>
      <c r="D54" s="810">
        <v>6327</v>
      </c>
      <c r="E54" s="825">
        <v>9016</v>
      </c>
      <c r="F54" s="810"/>
      <c r="G54" s="810">
        <v>5000</v>
      </c>
      <c r="H54" s="810">
        <f>+F54+G54</f>
        <v>5000</v>
      </c>
      <c r="I54" s="810"/>
      <c r="J54" s="810">
        <f t="shared" si="3"/>
        <v>142.50039513197407</v>
      </c>
      <c r="K54" s="810">
        <f t="shared" si="4"/>
        <v>55.456965394853597</v>
      </c>
      <c r="L54" s="807"/>
      <c r="M54" s="807"/>
    </row>
    <row r="55" spans="1:13" s="811" customFormat="1" x14ac:dyDescent="0.25">
      <c r="A55" s="833" t="s">
        <v>346</v>
      </c>
      <c r="B55" s="824" t="s">
        <v>347</v>
      </c>
      <c r="C55" s="810"/>
      <c r="D55" s="810">
        <v>26000</v>
      </c>
      <c r="E55" s="825"/>
      <c r="F55" s="810">
        <v>26000</v>
      </c>
      <c r="G55" s="810">
        <v>4000</v>
      </c>
      <c r="H55" s="810">
        <f>+F55+G55</f>
        <v>30000</v>
      </c>
      <c r="I55" s="810"/>
      <c r="J55" s="810"/>
      <c r="K55" s="810"/>
      <c r="L55" s="807"/>
      <c r="M55" s="807"/>
    </row>
    <row r="56" spans="1:13" s="811" customFormat="1" x14ac:dyDescent="0.25">
      <c r="A56" s="833" t="s">
        <v>348</v>
      </c>
      <c r="B56" s="824" t="s">
        <v>349</v>
      </c>
      <c r="C56" s="810"/>
      <c r="D56" s="810">
        <v>275000</v>
      </c>
      <c r="E56" s="825">
        <v>162160</v>
      </c>
      <c r="F56" s="830">
        <f>D56-E56</f>
        <v>112840</v>
      </c>
      <c r="G56" s="810">
        <v>100000</v>
      </c>
      <c r="H56" s="810">
        <f>+F56+G56</f>
        <v>212840</v>
      </c>
      <c r="I56" s="810"/>
      <c r="J56" s="810"/>
      <c r="K56" s="810"/>
      <c r="L56" s="807"/>
      <c r="M56" s="807"/>
    </row>
    <row r="57" spans="1:13" s="811" customFormat="1" x14ac:dyDescent="0.25">
      <c r="A57" s="833" t="s">
        <v>350</v>
      </c>
      <c r="B57" s="824" t="s">
        <v>351</v>
      </c>
      <c r="C57" s="810">
        <v>600</v>
      </c>
      <c r="D57" s="810">
        <v>30000</v>
      </c>
      <c r="E57" s="825">
        <f>59357-20705+1562</f>
        <v>40214</v>
      </c>
      <c r="F57" s="830"/>
      <c r="G57" s="810">
        <v>20000</v>
      </c>
      <c r="H57" s="810">
        <f t="shared" si="0"/>
        <v>20000</v>
      </c>
      <c r="I57" s="810">
        <f t="shared" si="2"/>
        <v>6702.333333333333</v>
      </c>
      <c r="J57" s="810">
        <f t="shared" si="3"/>
        <v>134.04666666666668</v>
      </c>
      <c r="K57" s="810">
        <f t="shared" si="4"/>
        <v>49.73392350922564</v>
      </c>
      <c r="L57" s="807"/>
      <c r="M57" s="807"/>
    </row>
    <row r="58" spans="1:13" s="811" customFormat="1" x14ac:dyDescent="0.25">
      <c r="A58" s="833" t="s">
        <v>352</v>
      </c>
      <c r="B58" s="824" t="s">
        <v>353</v>
      </c>
      <c r="C58" s="810"/>
      <c r="D58" s="810">
        <v>45000</v>
      </c>
      <c r="E58" s="825">
        <f>18535+2170</f>
        <v>20705</v>
      </c>
      <c r="F58" s="810">
        <f>D58-E58</f>
        <v>24295</v>
      </c>
      <c r="G58" s="810">
        <v>30000</v>
      </c>
      <c r="H58" s="810">
        <f t="shared" si="0"/>
        <v>54295</v>
      </c>
      <c r="I58" s="810"/>
      <c r="J58" s="810">
        <f t="shared" si="3"/>
        <v>46.011111111111113</v>
      </c>
      <c r="K58" s="810">
        <f t="shared" si="4"/>
        <v>262.23134508572809</v>
      </c>
      <c r="L58" s="807"/>
      <c r="M58" s="807"/>
    </row>
    <row r="59" spans="1:13" s="811" customFormat="1" x14ac:dyDescent="0.25">
      <c r="A59" s="833" t="s">
        <v>354</v>
      </c>
      <c r="B59" s="824" t="s">
        <v>355</v>
      </c>
      <c r="C59" s="810"/>
      <c r="D59" s="810">
        <v>9000</v>
      </c>
      <c r="E59" s="825"/>
      <c r="F59" s="810"/>
      <c r="G59" s="810">
        <v>20000</v>
      </c>
      <c r="H59" s="810">
        <f>+F59+G59</f>
        <v>20000</v>
      </c>
      <c r="I59" s="810"/>
      <c r="J59" s="810"/>
      <c r="K59" s="810"/>
      <c r="L59" s="807"/>
      <c r="M59" s="807"/>
    </row>
    <row r="60" spans="1:13" s="811" customFormat="1" x14ac:dyDescent="0.25">
      <c r="A60" s="833" t="s">
        <v>356</v>
      </c>
      <c r="B60" s="824" t="s">
        <v>357</v>
      </c>
      <c r="C60" s="810"/>
      <c r="D60" s="810">
        <v>7000</v>
      </c>
      <c r="E60" s="825"/>
      <c r="F60" s="810">
        <v>7000</v>
      </c>
      <c r="G60" s="810"/>
      <c r="H60" s="810">
        <f t="shared" si="0"/>
        <v>7000</v>
      </c>
      <c r="I60" s="810"/>
      <c r="J60" s="810"/>
      <c r="K60" s="810"/>
      <c r="L60" s="807"/>
      <c r="M60" s="807"/>
    </row>
    <row r="61" spans="1:13" s="811" customFormat="1" x14ac:dyDescent="0.25">
      <c r="A61" s="833" t="s">
        <v>358</v>
      </c>
      <c r="B61" s="824" t="s">
        <v>359</v>
      </c>
      <c r="C61" s="810"/>
      <c r="D61" s="810">
        <v>15000</v>
      </c>
      <c r="E61" s="825"/>
      <c r="F61" s="810">
        <v>15000</v>
      </c>
      <c r="G61" s="810">
        <v>5000</v>
      </c>
      <c r="H61" s="810">
        <f t="shared" si="0"/>
        <v>20000</v>
      </c>
      <c r="I61" s="810"/>
      <c r="J61" s="810"/>
      <c r="K61" s="810"/>
      <c r="L61" s="807"/>
      <c r="M61" s="807"/>
    </row>
    <row r="62" spans="1:13" s="811" customFormat="1" x14ac:dyDescent="0.25">
      <c r="A62" s="833" t="s">
        <v>360</v>
      </c>
      <c r="B62" s="824" t="s">
        <v>361</v>
      </c>
      <c r="C62" s="810">
        <v>100</v>
      </c>
      <c r="D62" s="810">
        <v>500</v>
      </c>
      <c r="E62" s="825"/>
      <c r="F62" s="810"/>
      <c r="G62" s="810"/>
      <c r="H62" s="810">
        <f t="shared" si="0"/>
        <v>0</v>
      </c>
      <c r="I62" s="810"/>
      <c r="J62" s="810"/>
      <c r="K62" s="810"/>
      <c r="L62" s="807"/>
      <c r="M62" s="807"/>
    </row>
    <row r="63" spans="1:13" s="811" customFormat="1" x14ac:dyDescent="0.25">
      <c r="A63" s="833" t="s">
        <v>362</v>
      </c>
      <c r="B63" s="824" t="s">
        <v>363</v>
      </c>
      <c r="C63" s="810">
        <v>3765</v>
      </c>
      <c r="D63" s="810"/>
      <c r="E63" s="831"/>
      <c r="F63" s="830"/>
      <c r="G63" s="810"/>
      <c r="H63" s="810">
        <f t="shared" si="0"/>
        <v>0</v>
      </c>
      <c r="I63" s="810"/>
      <c r="J63" s="810"/>
      <c r="K63" s="810"/>
      <c r="L63" s="807"/>
      <c r="M63" s="807"/>
    </row>
    <row r="64" spans="1:13" s="811" customFormat="1" x14ac:dyDescent="0.25">
      <c r="A64" s="833" t="s">
        <v>364</v>
      </c>
      <c r="B64" s="824" t="s">
        <v>365</v>
      </c>
      <c r="C64" s="810"/>
      <c r="D64" s="810">
        <v>7000</v>
      </c>
      <c r="E64" s="825"/>
      <c r="F64" s="810">
        <v>7000</v>
      </c>
      <c r="G64" s="810"/>
      <c r="H64" s="810">
        <f t="shared" si="0"/>
        <v>7000</v>
      </c>
      <c r="I64" s="810"/>
      <c r="J64" s="810"/>
      <c r="K64" s="810"/>
      <c r="L64" s="807"/>
      <c r="M64" s="807"/>
    </row>
    <row r="65" spans="1:13" s="811" customFormat="1" x14ac:dyDescent="0.25">
      <c r="A65" s="833" t="s">
        <v>366</v>
      </c>
      <c r="B65" s="824" t="s">
        <v>367</v>
      </c>
      <c r="C65" s="810"/>
      <c r="D65" s="810">
        <v>9400</v>
      </c>
      <c r="E65" s="825">
        <v>8628</v>
      </c>
      <c r="F65" s="810"/>
      <c r="G65" s="810"/>
      <c r="H65" s="810">
        <f t="shared" si="0"/>
        <v>0</v>
      </c>
      <c r="I65" s="810"/>
      <c r="J65" s="810">
        <f t="shared" si="3"/>
        <v>91.787234042553195</v>
      </c>
      <c r="K65" s="810">
        <f t="shared" si="4"/>
        <v>0</v>
      </c>
      <c r="L65" s="807"/>
      <c r="M65" s="807"/>
    </row>
    <row r="66" spans="1:13" s="811" customFormat="1" x14ac:dyDescent="0.25">
      <c r="A66" s="833" t="s">
        <v>368</v>
      </c>
      <c r="B66" s="824" t="s">
        <v>369</v>
      </c>
      <c r="C66" s="810">
        <v>2599</v>
      </c>
      <c r="D66" s="810">
        <v>400</v>
      </c>
      <c r="E66" s="825"/>
      <c r="F66" s="810"/>
      <c r="G66" s="810"/>
      <c r="H66" s="810">
        <f t="shared" si="0"/>
        <v>0</v>
      </c>
      <c r="I66" s="810"/>
      <c r="J66" s="810"/>
      <c r="K66" s="810"/>
      <c r="L66" s="807"/>
      <c r="M66" s="807"/>
    </row>
    <row r="67" spans="1:13" s="811" customFormat="1" x14ac:dyDescent="0.25">
      <c r="A67" s="833" t="s">
        <v>370</v>
      </c>
      <c r="B67" s="824" t="s">
        <v>371</v>
      </c>
      <c r="C67" s="830"/>
      <c r="D67" s="810"/>
      <c r="E67" s="825"/>
      <c r="F67" s="810"/>
      <c r="G67" s="810"/>
      <c r="H67" s="810">
        <f t="shared" si="0"/>
        <v>0</v>
      </c>
      <c r="I67" s="810"/>
      <c r="J67" s="810"/>
      <c r="K67" s="810"/>
      <c r="L67" s="807"/>
      <c r="M67" s="807"/>
    </row>
    <row r="68" spans="1:13" s="811" customFormat="1" x14ac:dyDescent="0.25">
      <c r="A68" s="833" t="s">
        <v>372</v>
      </c>
      <c r="B68" s="824" t="s">
        <v>373</v>
      </c>
      <c r="C68" s="810">
        <v>677</v>
      </c>
      <c r="D68" s="810"/>
      <c r="E68" s="825"/>
      <c r="F68" s="810"/>
      <c r="G68" s="810"/>
      <c r="H68" s="810">
        <f t="shared" si="0"/>
        <v>0</v>
      </c>
      <c r="I68" s="810"/>
      <c r="J68" s="810"/>
      <c r="K68" s="810"/>
      <c r="L68" s="807"/>
      <c r="M68" s="807"/>
    </row>
    <row r="69" spans="1:13" x14ac:dyDescent="0.25">
      <c r="A69" s="834" t="s">
        <v>374</v>
      </c>
      <c r="B69" s="835" t="s">
        <v>375</v>
      </c>
      <c r="C69" s="836">
        <f>SUM(C70:C79)</f>
        <v>7583</v>
      </c>
      <c r="D69" s="836">
        <f t="shared" ref="D69:G69" si="7">SUM(D70:D79)</f>
        <v>37825</v>
      </c>
      <c r="E69" s="837">
        <f t="shared" si="7"/>
        <v>9151</v>
      </c>
      <c r="F69" s="836">
        <f t="shared" si="7"/>
        <v>22428</v>
      </c>
      <c r="G69" s="836">
        <f t="shared" si="7"/>
        <v>27530</v>
      </c>
      <c r="H69" s="836">
        <f t="shared" si="0"/>
        <v>49958</v>
      </c>
      <c r="I69" s="836">
        <f t="shared" si="2"/>
        <v>120.67783199261505</v>
      </c>
      <c r="J69" s="836">
        <f t="shared" si="3"/>
        <v>24.192994051553203</v>
      </c>
      <c r="K69" s="836">
        <f t="shared" si="4"/>
        <v>545.92940662222713</v>
      </c>
      <c r="L69" s="807"/>
      <c r="M69" s="807"/>
    </row>
    <row r="70" spans="1:13" x14ac:dyDescent="0.25">
      <c r="A70" s="838" t="s">
        <v>376</v>
      </c>
      <c r="B70" s="808" t="s">
        <v>377</v>
      </c>
      <c r="C70" s="809"/>
      <c r="D70" s="809">
        <v>1000</v>
      </c>
      <c r="E70" s="826"/>
      <c r="F70" s="809">
        <v>1000</v>
      </c>
      <c r="G70" s="809"/>
      <c r="H70" s="809">
        <f t="shared" si="0"/>
        <v>1000</v>
      </c>
      <c r="I70" s="809"/>
      <c r="J70" s="809"/>
      <c r="K70" s="809"/>
      <c r="L70" s="807"/>
      <c r="M70" s="807"/>
    </row>
    <row r="71" spans="1:13" x14ac:dyDescent="0.25">
      <c r="A71" s="838" t="s">
        <v>378</v>
      </c>
      <c r="B71" s="808" t="s">
        <v>379</v>
      </c>
      <c r="C71" s="809">
        <v>2</v>
      </c>
      <c r="D71" s="809">
        <v>1000</v>
      </c>
      <c r="E71" s="828">
        <v>567</v>
      </c>
      <c r="F71" s="815">
        <f>D71-E71</f>
        <v>433</v>
      </c>
      <c r="G71" s="809"/>
      <c r="H71" s="809">
        <f t="shared" si="0"/>
        <v>433</v>
      </c>
      <c r="I71" s="809">
        <f t="shared" si="2"/>
        <v>28350</v>
      </c>
      <c r="J71" s="809">
        <f t="shared" si="3"/>
        <v>56.699999999999996</v>
      </c>
      <c r="K71" s="809">
        <f t="shared" si="4"/>
        <v>76.366843033509696</v>
      </c>
      <c r="L71" s="807"/>
      <c r="M71" s="807"/>
    </row>
    <row r="72" spans="1:13" ht="15" customHeight="1" x14ac:dyDescent="0.25">
      <c r="A72" s="838" t="s">
        <v>380</v>
      </c>
      <c r="B72" s="808" t="s">
        <v>381</v>
      </c>
      <c r="C72" s="809"/>
      <c r="D72" s="809">
        <v>10125</v>
      </c>
      <c r="E72" s="828"/>
      <c r="F72" s="815">
        <v>10125</v>
      </c>
      <c r="G72" s="809"/>
      <c r="H72" s="809">
        <f t="shared" si="0"/>
        <v>10125</v>
      </c>
      <c r="I72" s="809"/>
      <c r="J72" s="809"/>
      <c r="K72" s="809"/>
      <c r="L72" s="807"/>
      <c r="M72" s="807"/>
    </row>
    <row r="73" spans="1:13" ht="27" customHeight="1" x14ac:dyDescent="0.25">
      <c r="A73" s="838" t="s">
        <v>382</v>
      </c>
      <c r="B73" s="839" t="s">
        <v>383</v>
      </c>
      <c r="C73" s="809">
        <v>2057</v>
      </c>
      <c r="D73" s="809">
        <v>2000</v>
      </c>
      <c r="E73" s="828">
        <f>1232+2494</f>
        <v>3726</v>
      </c>
      <c r="F73" s="815"/>
      <c r="G73" s="809">
        <v>2000</v>
      </c>
      <c r="H73" s="809">
        <f t="shared" si="0"/>
        <v>2000</v>
      </c>
      <c r="I73" s="809">
        <f t="shared" si="2"/>
        <v>181.13757899854158</v>
      </c>
      <c r="J73" s="809">
        <f t="shared" si="3"/>
        <v>186.3</v>
      </c>
      <c r="K73" s="809">
        <f t="shared" si="4"/>
        <v>53.676865271068174</v>
      </c>
      <c r="L73" s="807"/>
      <c r="M73" s="807"/>
    </row>
    <row r="74" spans="1:13" x14ac:dyDescent="0.25">
      <c r="A74" s="838" t="s">
        <v>384</v>
      </c>
      <c r="B74" s="808" t="s">
        <v>371</v>
      </c>
      <c r="C74" s="815">
        <v>4600</v>
      </c>
      <c r="D74" s="809"/>
      <c r="E74" s="826"/>
      <c r="F74" s="809"/>
      <c r="G74" s="809">
        <v>8000</v>
      </c>
      <c r="H74" s="809">
        <f t="shared" si="0"/>
        <v>8000</v>
      </c>
      <c r="I74" s="809"/>
      <c r="J74" s="809"/>
      <c r="K74" s="809"/>
      <c r="L74" s="807"/>
      <c r="M74" s="807"/>
    </row>
    <row r="75" spans="1:13" x14ac:dyDescent="0.25">
      <c r="A75" s="838" t="s">
        <v>385</v>
      </c>
      <c r="B75" s="808" t="s">
        <v>386</v>
      </c>
      <c r="C75" s="809"/>
      <c r="D75" s="809">
        <v>9200</v>
      </c>
      <c r="E75" s="826">
        <v>1228</v>
      </c>
      <c r="F75" s="809"/>
      <c r="G75" s="809">
        <v>500</v>
      </c>
      <c r="H75" s="809">
        <f t="shared" si="0"/>
        <v>500</v>
      </c>
      <c r="I75" s="809"/>
      <c r="J75" s="809">
        <f t="shared" si="3"/>
        <v>13.347826086956522</v>
      </c>
      <c r="K75" s="809"/>
      <c r="L75" s="807"/>
      <c r="M75" s="807"/>
    </row>
    <row r="76" spans="1:13" x14ac:dyDescent="0.25">
      <c r="A76" s="808" t="s">
        <v>387</v>
      </c>
      <c r="B76" s="808" t="s">
        <v>388</v>
      </c>
      <c r="C76" s="809"/>
      <c r="D76" s="809">
        <v>4500</v>
      </c>
      <c r="E76" s="826"/>
      <c r="F76" s="809">
        <v>4500</v>
      </c>
      <c r="G76" s="809"/>
      <c r="H76" s="809">
        <f t="shared" si="0"/>
        <v>4500</v>
      </c>
      <c r="I76" s="809"/>
      <c r="J76" s="809"/>
      <c r="K76" s="809"/>
      <c r="L76" s="807"/>
      <c r="M76" s="807"/>
    </row>
    <row r="77" spans="1:13" x14ac:dyDescent="0.25">
      <c r="A77" s="808" t="s">
        <v>389</v>
      </c>
      <c r="B77" s="808" t="s">
        <v>390</v>
      </c>
      <c r="C77" s="809"/>
      <c r="D77" s="809"/>
      <c r="E77" s="826"/>
      <c r="F77" s="809"/>
      <c r="G77" s="809">
        <v>9400</v>
      </c>
      <c r="H77" s="809">
        <f t="shared" si="0"/>
        <v>9400</v>
      </c>
      <c r="I77" s="809"/>
      <c r="J77" s="809"/>
      <c r="K77" s="809"/>
      <c r="L77" s="807"/>
      <c r="M77" s="807"/>
    </row>
    <row r="78" spans="1:13" x14ac:dyDescent="0.25">
      <c r="A78" s="808" t="s">
        <v>391</v>
      </c>
      <c r="B78" s="808" t="s">
        <v>392</v>
      </c>
      <c r="C78" s="809"/>
      <c r="D78" s="809"/>
      <c r="E78" s="826"/>
      <c r="F78" s="809"/>
      <c r="G78" s="809">
        <v>4000</v>
      </c>
      <c r="H78" s="809">
        <f t="shared" si="0"/>
        <v>4000</v>
      </c>
      <c r="I78" s="809"/>
      <c r="J78" s="809"/>
      <c r="K78" s="809"/>
      <c r="L78" s="807"/>
      <c r="M78" s="807"/>
    </row>
    <row r="79" spans="1:13" x14ac:dyDescent="0.25">
      <c r="A79" s="808" t="s">
        <v>393</v>
      </c>
      <c r="B79" s="808" t="s">
        <v>394</v>
      </c>
      <c r="C79" s="809">
        <v>924</v>
      </c>
      <c r="D79" s="809">
        <v>10000</v>
      </c>
      <c r="E79" s="826">
        <v>3630</v>
      </c>
      <c r="F79" s="815">
        <f>D79-E79</f>
        <v>6370</v>
      </c>
      <c r="G79" s="809">
        <v>3630</v>
      </c>
      <c r="H79" s="809">
        <f t="shared" si="0"/>
        <v>10000</v>
      </c>
      <c r="I79" s="809">
        <f t="shared" si="2"/>
        <v>392.85714285714283</v>
      </c>
      <c r="J79" s="809">
        <f t="shared" si="3"/>
        <v>36.299999999999997</v>
      </c>
      <c r="K79" s="809">
        <f t="shared" si="4"/>
        <v>275.48209366391183</v>
      </c>
      <c r="L79" s="807"/>
      <c r="M79" s="807"/>
    </row>
    <row r="80" spans="1:13" x14ac:dyDescent="0.25">
      <c r="A80" s="840" t="s">
        <v>395</v>
      </c>
      <c r="B80" s="835" t="s">
        <v>396</v>
      </c>
      <c r="C80" s="836">
        <f t="shared" ref="C80" si="8">C81+C84+C82</f>
        <v>0</v>
      </c>
      <c r="D80" s="836">
        <f>D81+D84+D82</f>
        <v>180900</v>
      </c>
      <c r="E80" s="837">
        <f t="shared" ref="E80:F80" si="9">E81+E84+E82</f>
        <v>74900</v>
      </c>
      <c r="F80" s="836">
        <f t="shared" si="9"/>
        <v>106000</v>
      </c>
      <c r="G80" s="836">
        <f>G81+G84+G82+G83</f>
        <v>80000</v>
      </c>
      <c r="H80" s="836">
        <f t="shared" si="0"/>
        <v>186000</v>
      </c>
      <c r="I80" s="836"/>
      <c r="J80" s="836">
        <f t="shared" si="3"/>
        <v>41.404090657822003</v>
      </c>
      <c r="K80" s="836">
        <f t="shared" si="4"/>
        <v>248.33110814419226</v>
      </c>
      <c r="L80" s="807"/>
      <c r="M80" s="807"/>
    </row>
    <row r="81" spans="1:13" x14ac:dyDescent="0.25">
      <c r="A81" s="808" t="s">
        <v>397</v>
      </c>
      <c r="B81" s="808" t="s">
        <v>398</v>
      </c>
      <c r="C81" s="809"/>
      <c r="D81" s="809">
        <v>74900</v>
      </c>
      <c r="E81" s="826">
        <v>74900</v>
      </c>
      <c r="F81" s="809"/>
      <c r="G81" s="809"/>
      <c r="H81" s="809">
        <f t="shared" si="0"/>
        <v>0</v>
      </c>
      <c r="I81" s="809"/>
      <c r="J81" s="809">
        <f t="shared" si="3"/>
        <v>100</v>
      </c>
      <c r="K81" s="809">
        <f t="shared" si="4"/>
        <v>0</v>
      </c>
      <c r="L81" s="807"/>
      <c r="M81" s="807"/>
    </row>
    <row r="82" spans="1:13" x14ac:dyDescent="0.25">
      <c r="A82" s="808" t="s">
        <v>399</v>
      </c>
      <c r="B82" s="808" t="s">
        <v>400</v>
      </c>
      <c r="C82" s="809"/>
      <c r="D82" s="809">
        <v>70000</v>
      </c>
      <c r="E82" s="826"/>
      <c r="F82" s="809">
        <v>70000</v>
      </c>
      <c r="G82" s="809">
        <v>10000</v>
      </c>
      <c r="H82" s="809">
        <f t="shared" si="0"/>
        <v>80000</v>
      </c>
      <c r="I82" s="809"/>
      <c r="J82" s="809">
        <f t="shared" si="3"/>
        <v>0</v>
      </c>
      <c r="K82" s="809"/>
      <c r="L82" s="807"/>
      <c r="M82" s="807"/>
    </row>
    <row r="83" spans="1:13" x14ac:dyDescent="0.25">
      <c r="A83" s="808" t="s">
        <v>401</v>
      </c>
      <c r="B83" s="808" t="s">
        <v>402</v>
      </c>
      <c r="C83" s="809"/>
      <c r="D83" s="809"/>
      <c r="E83" s="826"/>
      <c r="F83" s="809"/>
      <c r="G83" s="809">
        <v>70000</v>
      </c>
      <c r="H83" s="809">
        <f t="shared" si="0"/>
        <v>70000</v>
      </c>
      <c r="I83" s="809"/>
      <c r="J83" s="809"/>
      <c r="K83" s="809"/>
      <c r="L83" s="807"/>
      <c r="M83" s="807"/>
    </row>
    <row r="84" spans="1:13" x14ac:dyDescent="0.25">
      <c r="A84" s="841" t="s">
        <v>403</v>
      </c>
      <c r="B84" s="842" t="s">
        <v>404</v>
      </c>
      <c r="C84" s="843"/>
      <c r="D84" s="843">
        <v>36000</v>
      </c>
      <c r="E84" s="844"/>
      <c r="F84" s="843">
        <v>36000</v>
      </c>
      <c r="G84" s="843"/>
      <c r="H84" s="843">
        <f t="shared" si="0"/>
        <v>36000</v>
      </c>
      <c r="I84" s="843"/>
      <c r="J84" s="843">
        <f t="shared" si="3"/>
        <v>0</v>
      </c>
      <c r="K84" s="843"/>
      <c r="L84" s="807"/>
      <c r="M84" s="807"/>
    </row>
    <row r="85" spans="1:13" s="800" customFormat="1" x14ac:dyDescent="0.25">
      <c r="A85" s="817" t="s">
        <v>21</v>
      </c>
      <c r="B85" s="817" t="s">
        <v>405</v>
      </c>
      <c r="C85" s="818">
        <f>+SUM(C86:C101)</f>
        <v>7008</v>
      </c>
      <c r="D85" s="818">
        <f>+SUM(D86:D101)</f>
        <v>128372</v>
      </c>
      <c r="E85" s="845">
        <f>+SUM(E86:E101)</f>
        <v>50680</v>
      </c>
      <c r="F85" s="818">
        <f>+SUM(F86:F101)</f>
        <v>109388</v>
      </c>
      <c r="G85" s="818">
        <f>+SUM(G86:G101)</f>
        <v>452000</v>
      </c>
      <c r="H85" s="818">
        <f t="shared" si="0"/>
        <v>561388</v>
      </c>
      <c r="I85" s="818">
        <f t="shared" si="2"/>
        <v>723.17351598173514</v>
      </c>
      <c r="J85" s="818">
        <f t="shared" si="3"/>
        <v>39.479014115227621</v>
      </c>
      <c r="K85" s="818">
        <f t="shared" si="4"/>
        <v>1107.7111286503552</v>
      </c>
      <c r="L85" s="807"/>
      <c r="M85" s="807"/>
    </row>
    <row r="86" spans="1:13" ht="39.75" customHeight="1" x14ac:dyDescent="0.25">
      <c r="A86" s="812" t="s">
        <v>406</v>
      </c>
      <c r="B86" s="839" t="s">
        <v>583</v>
      </c>
      <c r="C86" s="809"/>
      <c r="D86" s="846">
        <v>45564</v>
      </c>
      <c r="E86" s="847">
        <f>3960+440</f>
        <v>4400</v>
      </c>
      <c r="F86" s="814">
        <v>41164</v>
      </c>
      <c r="G86" s="814">
        <v>30000</v>
      </c>
      <c r="H86" s="848">
        <f>F86+G86</f>
        <v>71164</v>
      </c>
      <c r="I86" s="809"/>
      <c r="J86" s="814">
        <f t="shared" si="3"/>
        <v>9.6567465542972517</v>
      </c>
      <c r="K86" s="814">
        <f t="shared" si="4"/>
        <v>1617.3636363636363</v>
      </c>
      <c r="L86" s="807"/>
      <c r="M86" s="807"/>
    </row>
    <row r="87" spans="1:13" ht="27.75" customHeight="1" x14ac:dyDescent="0.25">
      <c r="A87" s="812" t="s">
        <v>408</v>
      </c>
      <c r="B87" s="849" t="s">
        <v>409</v>
      </c>
      <c r="C87" s="809"/>
      <c r="D87" s="846">
        <v>11600</v>
      </c>
      <c r="E87" s="846">
        <f>3000+5500+4400</f>
        <v>12900</v>
      </c>
      <c r="F87" s="850"/>
      <c r="G87" s="814">
        <v>4000</v>
      </c>
      <c r="H87" s="848">
        <f>F87+G87</f>
        <v>4000</v>
      </c>
      <c r="I87" s="809"/>
      <c r="J87" s="814">
        <f t="shared" si="3"/>
        <v>111.20689655172413</v>
      </c>
      <c r="K87" s="814">
        <f t="shared" si="4"/>
        <v>31.007751937984494</v>
      </c>
      <c r="L87" s="807"/>
      <c r="M87" s="807"/>
    </row>
    <row r="88" spans="1:13" x14ac:dyDescent="0.25">
      <c r="A88" s="838" t="s">
        <v>410</v>
      </c>
      <c r="B88" s="808" t="s">
        <v>411</v>
      </c>
      <c r="C88" s="809"/>
      <c r="D88" s="809">
        <v>1000</v>
      </c>
      <c r="E88" s="809"/>
      <c r="F88" s="809"/>
      <c r="G88" s="809">
        <v>10000</v>
      </c>
      <c r="H88" s="809">
        <f t="shared" si="0"/>
        <v>10000</v>
      </c>
      <c r="I88" s="809"/>
      <c r="J88" s="809"/>
      <c r="K88" s="809"/>
      <c r="L88" s="807"/>
      <c r="M88" s="807"/>
    </row>
    <row r="89" spans="1:13" x14ac:dyDescent="0.25">
      <c r="A89" s="838" t="s">
        <v>412</v>
      </c>
      <c r="B89" s="808" t="s">
        <v>413</v>
      </c>
      <c r="C89" s="809"/>
      <c r="D89" s="809">
        <v>39836</v>
      </c>
      <c r="E89" s="809"/>
      <c r="F89" s="809">
        <v>39836</v>
      </c>
      <c r="G89" s="809"/>
      <c r="H89" s="809">
        <f t="shared" si="0"/>
        <v>39836</v>
      </c>
      <c r="I89" s="809"/>
      <c r="J89" s="809"/>
      <c r="K89" s="809"/>
      <c r="L89" s="807"/>
      <c r="M89" s="807"/>
    </row>
    <row r="90" spans="1:13" x14ac:dyDescent="0.25">
      <c r="A90" s="838" t="s">
        <v>414</v>
      </c>
      <c r="B90" s="808" t="s">
        <v>415</v>
      </c>
      <c r="C90" s="809"/>
      <c r="D90" s="809">
        <v>15312</v>
      </c>
      <c r="E90" s="809"/>
      <c r="F90" s="809">
        <v>15312</v>
      </c>
      <c r="G90" s="809"/>
      <c r="H90" s="809">
        <f t="shared" si="0"/>
        <v>15312</v>
      </c>
      <c r="I90" s="809"/>
      <c r="J90" s="809"/>
      <c r="K90" s="809"/>
      <c r="L90" s="807"/>
      <c r="M90" s="807"/>
    </row>
    <row r="91" spans="1:13" ht="25.9" customHeight="1" x14ac:dyDescent="0.25">
      <c r="A91" s="812" t="s">
        <v>416</v>
      </c>
      <c r="B91" s="839" t="s">
        <v>417</v>
      </c>
      <c r="C91" s="809"/>
      <c r="D91" s="814">
        <v>800</v>
      </c>
      <c r="E91" s="814"/>
      <c r="F91" s="809"/>
      <c r="G91" s="814"/>
      <c r="H91" s="809"/>
      <c r="I91" s="809"/>
      <c r="J91" s="809"/>
      <c r="K91" s="809"/>
      <c r="L91" s="807"/>
      <c r="M91" s="807"/>
    </row>
    <row r="92" spans="1:13" ht="13.9" customHeight="1" x14ac:dyDescent="0.25">
      <c r="A92" s="812" t="s">
        <v>418</v>
      </c>
      <c r="B92" s="851" t="s">
        <v>419</v>
      </c>
      <c r="C92" s="809"/>
      <c r="D92" s="809">
        <v>6260</v>
      </c>
      <c r="E92" s="809">
        <v>1184</v>
      </c>
      <c r="F92" s="809">
        <v>5076</v>
      </c>
      <c r="G92" s="814">
        <v>250000</v>
      </c>
      <c r="H92" s="809">
        <f t="shared" si="0"/>
        <v>255076</v>
      </c>
      <c r="I92" s="809"/>
      <c r="J92" s="809">
        <f t="shared" si="3"/>
        <v>18.91373801916933</v>
      </c>
      <c r="K92" s="809">
        <f t="shared" si="4"/>
        <v>21543.58108108108</v>
      </c>
      <c r="L92" s="807"/>
      <c r="M92" s="807"/>
    </row>
    <row r="93" spans="1:13" ht="13.15" customHeight="1" x14ac:dyDescent="0.25">
      <c r="A93" s="808" t="s">
        <v>420</v>
      </c>
      <c r="B93" s="839" t="s">
        <v>421</v>
      </c>
      <c r="C93" s="809"/>
      <c r="D93" s="809">
        <v>8000</v>
      </c>
      <c r="E93" s="809"/>
      <c r="F93" s="809">
        <v>8000</v>
      </c>
      <c r="G93" s="809">
        <v>8000</v>
      </c>
      <c r="H93" s="809">
        <f t="shared" si="0"/>
        <v>16000</v>
      </c>
      <c r="I93" s="809"/>
      <c r="J93" s="809"/>
      <c r="K93" s="809"/>
      <c r="L93" s="807"/>
      <c r="M93" s="807"/>
    </row>
    <row r="94" spans="1:13" x14ac:dyDescent="0.25">
      <c r="A94" s="808" t="s">
        <v>422</v>
      </c>
      <c r="B94" s="839" t="s">
        <v>423</v>
      </c>
      <c r="C94" s="809"/>
      <c r="D94" s="809"/>
      <c r="E94" s="809">
        <v>13420</v>
      </c>
      <c r="F94" s="809"/>
      <c r="G94" s="809"/>
      <c r="H94" s="809"/>
      <c r="I94" s="809"/>
      <c r="J94" s="809"/>
      <c r="K94" s="809"/>
      <c r="L94" s="807"/>
      <c r="M94" s="807"/>
    </row>
    <row r="95" spans="1:13" ht="13.5" customHeight="1" x14ac:dyDescent="0.25">
      <c r="A95" s="808" t="s">
        <v>424</v>
      </c>
      <c r="B95" s="839" t="s">
        <v>584</v>
      </c>
      <c r="C95" s="809"/>
      <c r="D95" s="809"/>
      <c r="E95" s="809">
        <v>3000</v>
      </c>
      <c r="F95" s="809"/>
      <c r="G95" s="809"/>
      <c r="H95" s="809"/>
      <c r="I95" s="809"/>
      <c r="J95" s="809"/>
      <c r="K95" s="809"/>
      <c r="L95" s="807"/>
      <c r="M95" s="807"/>
    </row>
    <row r="96" spans="1:13" ht="30" customHeight="1" x14ac:dyDescent="0.25">
      <c r="A96" s="808" t="s">
        <v>425</v>
      </c>
      <c r="B96" s="839" t="s">
        <v>426</v>
      </c>
      <c r="C96" s="809"/>
      <c r="D96" s="809"/>
      <c r="E96" s="809">
        <v>10700</v>
      </c>
      <c r="F96" s="809"/>
      <c r="G96" s="809"/>
      <c r="H96" s="809"/>
      <c r="I96" s="809"/>
      <c r="J96" s="809"/>
      <c r="K96" s="809"/>
      <c r="L96" s="807"/>
      <c r="M96" s="807"/>
    </row>
    <row r="97" spans="1:13" ht="21.75" customHeight="1" x14ac:dyDescent="0.25">
      <c r="A97" s="808" t="s">
        <v>427</v>
      </c>
      <c r="B97" s="839" t="s">
        <v>428</v>
      </c>
      <c r="C97" s="809"/>
      <c r="D97" s="809"/>
      <c r="E97" s="809"/>
      <c r="F97" s="809"/>
      <c r="G97" s="809">
        <v>100000</v>
      </c>
      <c r="H97" s="809">
        <f t="shared" si="0"/>
        <v>100000</v>
      </c>
      <c r="I97" s="809"/>
      <c r="J97" s="809"/>
      <c r="K97" s="809"/>
      <c r="L97" s="807"/>
      <c r="M97" s="807"/>
    </row>
    <row r="98" spans="1:13" ht="26.25" customHeight="1" x14ac:dyDescent="0.25">
      <c r="A98" s="808" t="s">
        <v>429</v>
      </c>
      <c r="B98" s="839" t="s">
        <v>430</v>
      </c>
      <c r="C98" s="809"/>
      <c r="D98" s="809"/>
      <c r="E98" s="809"/>
      <c r="F98" s="809"/>
      <c r="G98" s="809">
        <v>30000</v>
      </c>
      <c r="H98" s="809">
        <f t="shared" si="0"/>
        <v>30000</v>
      </c>
      <c r="I98" s="809"/>
      <c r="J98" s="809"/>
      <c r="K98" s="809"/>
      <c r="L98" s="807"/>
      <c r="M98" s="807"/>
    </row>
    <row r="99" spans="1:13" ht="28.5" customHeight="1" x14ac:dyDescent="0.25">
      <c r="A99" s="808" t="s">
        <v>431</v>
      </c>
      <c r="B99" s="839" t="s">
        <v>432</v>
      </c>
      <c r="C99" s="809"/>
      <c r="D99" s="809"/>
      <c r="E99" s="809"/>
      <c r="F99" s="809"/>
      <c r="G99" s="809">
        <v>20000</v>
      </c>
      <c r="H99" s="809">
        <f t="shared" si="0"/>
        <v>20000</v>
      </c>
      <c r="I99" s="809"/>
      <c r="J99" s="809"/>
      <c r="K99" s="809"/>
      <c r="L99" s="807"/>
      <c r="M99" s="807"/>
    </row>
    <row r="100" spans="1:13" ht="13.9" customHeight="1" x14ac:dyDescent="0.25">
      <c r="A100" s="812" t="s">
        <v>433</v>
      </c>
      <c r="B100" s="851" t="s">
        <v>434</v>
      </c>
      <c r="C100" s="809"/>
      <c r="D100" s="809"/>
      <c r="E100" s="809">
        <v>5076</v>
      </c>
      <c r="F100" s="809"/>
      <c r="G100" s="814"/>
      <c r="H100" s="815"/>
      <c r="I100" s="809"/>
      <c r="J100" s="809"/>
      <c r="K100" s="809"/>
      <c r="L100" s="807"/>
      <c r="M100" s="807"/>
    </row>
    <row r="101" spans="1:13" x14ac:dyDescent="0.25">
      <c r="A101" s="808" t="s">
        <v>435</v>
      </c>
      <c r="B101" s="842" t="s">
        <v>436</v>
      </c>
      <c r="C101" s="843">
        <v>7008</v>
      </c>
      <c r="D101" s="843"/>
      <c r="E101" s="843"/>
      <c r="F101" s="843"/>
      <c r="G101" s="843"/>
      <c r="H101" s="852"/>
      <c r="I101" s="843"/>
      <c r="J101" s="843"/>
      <c r="K101" s="843"/>
      <c r="L101" s="807"/>
      <c r="M101" s="807"/>
    </row>
    <row r="102" spans="1:13" s="800" customFormat="1" x14ac:dyDescent="0.25">
      <c r="A102" s="853"/>
      <c r="B102" s="817" t="s">
        <v>437</v>
      </c>
      <c r="C102" s="818">
        <f t="shared" ref="C102:H102" si="10">+C8+C29+C85</f>
        <v>115045</v>
      </c>
      <c r="D102" s="818">
        <f t="shared" si="10"/>
        <v>4180682</v>
      </c>
      <c r="E102" s="818">
        <f t="shared" si="10"/>
        <v>399598</v>
      </c>
      <c r="F102" s="818">
        <f t="shared" si="10"/>
        <v>3401082</v>
      </c>
      <c r="G102" s="818">
        <f t="shared" si="10"/>
        <v>1220260</v>
      </c>
      <c r="H102" s="818">
        <f t="shared" si="10"/>
        <v>4621342</v>
      </c>
      <c r="I102" s="818">
        <f t="shared" ref="I102" si="11">+E102/C102*100</f>
        <v>347.34060584988481</v>
      </c>
      <c r="J102" s="818">
        <f t="shared" ref="J102" si="12">+E102/D102*100</f>
        <v>9.5582012695536278</v>
      </c>
      <c r="K102" s="818">
        <f t="shared" ref="K102" si="13">+H102/E102*100</f>
        <v>1156.4977802691706</v>
      </c>
      <c r="L102" s="807"/>
      <c r="M102" s="807"/>
    </row>
    <row r="103" spans="1:13" x14ac:dyDescent="0.25">
      <c r="E103" s="807"/>
    </row>
    <row r="104" spans="1:13" x14ac:dyDescent="0.25">
      <c r="E104" s="807"/>
    </row>
  </sheetData>
  <mergeCells count="7">
    <mergeCell ref="A3:K3"/>
    <mergeCell ref="A5:A6"/>
    <mergeCell ref="B5:B6"/>
    <mergeCell ref="C5:C6"/>
    <mergeCell ref="D5:E5"/>
    <mergeCell ref="F5:H5"/>
    <mergeCell ref="I5:K5"/>
  </mergeCells>
  <printOptions horizontalCentered="1"/>
  <pageMargins left="0.3" right="0.2" top="0.45" bottom="0.44" header="0.31496062992125984" footer="0.31496062992125984"/>
  <pageSetup paperSize="9" scale="5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1"/>
  <sheetViews>
    <sheetView workbookViewId="0">
      <selection activeCell="A6" sqref="A6"/>
    </sheetView>
  </sheetViews>
  <sheetFormatPr defaultColWidth="7.85546875" defaultRowHeight="12.75" x14ac:dyDescent="0.25"/>
  <cols>
    <col min="1" max="1" width="62.7109375" style="475" customWidth="1"/>
    <col min="2" max="2" width="18.7109375" style="475" customWidth="1"/>
    <col min="3" max="3" width="17.5703125" style="475" customWidth="1"/>
    <col min="4" max="16384" width="7.85546875" style="475"/>
  </cols>
  <sheetData>
    <row r="1" spans="1:3" ht="15" x14ac:dyDescent="0.25">
      <c r="A1" s="474"/>
    </row>
    <row r="2" spans="1:3" ht="19.5" customHeight="1" x14ac:dyDescent="0.25"/>
    <row r="3" spans="1:3" ht="21.75" customHeight="1" x14ac:dyDescent="0.25">
      <c r="A3" s="569" t="s">
        <v>438</v>
      </c>
      <c r="B3" s="569"/>
      <c r="C3" s="569"/>
    </row>
    <row r="4" spans="1:3" ht="3.75" customHeight="1" x14ac:dyDescent="0.25">
      <c r="B4" s="476"/>
      <c r="C4" s="476"/>
    </row>
    <row r="5" spans="1:3" ht="15.75" customHeight="1" x14ac:dyDescent="0.25">
      <c r="A5" s="970" t="s">
        <v>616</v>
      </c>
      <c r="B5" s="476"/>
      <c r="C5" s="476"/>
    </row>
    <row r="6" spans="1:3" ht="13.5" customHeight="1" thickBot="1" x14ac:dyDescent="0.3">
      <c r="C6" s="131" t="s">
        <v>122</v>
      </c>
    </row>
    <row r="7" spans="1:3" ht="27.75" customHeight="1" thickTop="1" x14ac:dyDescent="0.25">
      <c r="A7" s="570" t="s">
        <v>439</v>
      </c>
      <c r="B7" s="572" t="s">
        <v>440</v>
      </c>
      <c r="C7" s="574" t="s">
        <v>441</v>
      </c>
    </row>
    <row r="8" spans="1:3" ht="36" customHeight="1" thickBot="1" x14ac:dyDescent="0.3">
      <c r="A8" s="571"/>
      <c r="B8" s="573"/>
      <c r="C8" s="575"/>
    </row>
    <row r="9" spans="1:3" s="480" customFormat="1" ht="14.25" customHeight="1" thickBot="1" x14ac:dyDescent="0.3">
      <c r="A9" s="477">
        <v>1</v>
      </c>
      <c r="B9" s="478">
        <v>2</v>
      </c>
      <c r="C9" s="479">
        <v>3</v>
      </c>
    </row>
    <row r="10" spans="1:3" ht="20.100000000000001" customHeight="1" x14ac:dyDescent="0.25">
      <c r="A10" s="481" t="s">
        <v>442</v>
      </c>
      <c r="B10" s="482"/>
      <c r="C10" s="483"/>
    </row>
    <row r="11" spans="1:3" ht="20.100000000000001" customHeight="1" x14ac:dyDescent="0.25">
      <c r="A11" s="484" t="s">
        <v>443</v>
      </c>
      <c r="B11" s="485">
        <v>11500000</v>
      </c>
      <c r="C11" s="486">
        <v>12713239</v>
      </c>
    </row>
    <row r="12" spans="1:3" ht="20.100000000000001" customHeight="1" x14ac:dyDescent="0.25">
      <c r="A12" s="484" t="s">
        <v>444</v>
      </c>
      <c r="B12" s="487">
        <v>2622019</v>
      </c>
      <c r="C12" s="488">
        <v>3000000</v>
      </c>
    </row>
    <row r="13" spans="1:3" ht="20.100000000000001" customHeight="1" x14ac:dyDescent="0.25">
      <c r="A13" s="484" t="s">
        <v>445</v>
      </c>
      <c r="B13" s="487">
        <v>4401</v>
      </c>
      <c r="C13" s="488">
        <v>5000</v>
      </c>
    </row>
    <row r="14" spans="1:3" ht="20.100000000000001" customHeight="1" x14ac:dyDescent="0.25">
      <c r="A14" s="484" t="s">
        <v>446</v>
      </c>
      <c r="B14" s="487">
        <v>4796416</v>
      </c>
      <c r="C14" s="488">
        <v>2865840</v>
      </c>
    </row>
    <row r="15" spans="1:3" ht="20.100000000000001" customHeight="1" x14ac:dyDescent="0.25">
      <c r="A15" s="484" t="s">
        <v>447</v>
      </c>
      <c r="B15" s="487">
        <v>35528</v>
      </c>
      <c r="C15" s="488">
        <v>35000</v>
      </c>
    </row>
    <row r="16" spans="1:3" ht="20.100000000000001" customHeight="1" x14ac:dyDescent="0.25">
      <c r="A16" s="484" t="s">
        <v>448</v>
      </c>
      <c r="B16" s="487">
        <v>-6502621</v>
      </c>
      <c r="C16" s="488">
        <v>-6000000</v>
      </c>
    </row>
    <row r="17" spans="1:3" ht="20.100000000000001" customHeight="1" x14ac:dyDescent="0.25">
      <c r="A17" s="484" t="s">
        <v>449</v>
      </c>
      <c r="B17" s="487">
        <v>-2758865</v>
      </c>
      <c r="C17" s="488">
        <v>-3058865</v>
      </c>
    </row>
    <row r="18" spans="1:3" ht="20.100000000000001" customHeight="1" x14ac:dyDescent="0.25">
      <c r="A18" s="484" t="s">
        <v>450</v>
      </c>
      <c r="B18" s="487">
        <v>-336074</v>
      </c>
      <c r="C18" s="488">
        <v>-15000</v>
      </c>
    </row>
    <row r="19" spans="1:3" ht="20.100000000000001" customHeight="1" x14ac:dyDescent="0.25">
      <c r="A19" s="484" t="s">
        <v>451</v>
      </c>
      <c r="B19" s="487">
        <v>-3619013</v>
      </c>
      <c r="C19" s="488">
        <v>-4119013</v>
      </c>
    </row>
    <row r="20" spans="1:3" ht="20.100000000000001" customHeight="1" thickBot="1" x14ac:dyDescent="0.3">
      <c r="A20" s="489" t="s">
        <v>452</v>
      </c>
      <c r="B20" s="490">
        <v>-2067956</v>
      </c>
      <c r="C20" s="491">
        <v>-3567956</v>
      </c>
    </row>
    <row r="21" spans="1:3" ht="20.100000000000001" customHeight="1" thickBot="1" x14ac:dyDescent="0.3">
      <c r="A21" s="492" t="s">
        <v>453</v>
      </c>
      <c r="B21" s="493">
        <v>3673834</v>
      </c>
      <c r="C21" s="494">
        <v>1858245</v>
      </c>
    </row>
    <row r="22" spans="1:3" ht="20.100000000000001" customHeight="1" x14ac:dyDescent="0.25">
      <c r="A22" s="481" t="s">
        <v>454</v>
      </c>
      <c r="B22" s="495"/>
      <c r="C22" s="496"/>
    </row>
    <row r="23" spans="1:3" ht="20.100000000000001" customHeight="1" x14ac:dyDescent="0.25">
      <c r="A23" s="484" t="s">
        <v>455</v>
      </c>
      <c r="B23" s="487">
        <v>-315375</v>
      </c>
      <c r="C23" s="488">
        <v>-3500000</v>
      </c>
    </row>
    <row r="24" spans="1:3" ht="20.100000000000001" customHeight="1" x14ac:dyDescent="0.25">
      <c r="A24" s="484" t="s">
        <v>456</v>
      </c>
      <c r="B24" s="497"/>
      <c r="C24" s="498"/>
    </row>
    <row r="25" spans="1:3" ht="20.100000000000001" customHeight="1" x14ac:dyDescent="0.25">
      <c r="A25" s="484" t="s">
        <v>457</v>
      </c>
      <c r="B25" s="497"/>
      <c r="C25" s="498"/>
    </row>
    <row r="26" spans="1:3" ht="20.100000000000001" customHeight="1" thickBot="1" x14ac:dyDescent="0.3">
      <c r="A26" s="484" t="s">
        <v>458</v>
      </c>
      <c r="B26" s="487">
        <v>809251</v>
      </c>
      <c r="C26" s="488">
        <v>2000000</v>
      </c>
    </row>
    <row r="27" spans="1:3" ht="20.100000000000001" customHeight="1" thickBot="1" x14ac:dyDescent="0.3">
      <c r="A27" s="492" t="s">
        <v>459</v>
      </c>
      <c r="B27" s="493">
        <v>493876</v>
      </c>
      <c r="C27" s="494">
        <v>-1500000</v>
      </c>
    </row>
    <row r="28" spans="1:3" ht="20.100000000000001" customHeight="1" x14ac:dyDescent="0.25">
      <c r="A28" s="481" t="s">
        <v>460</v>
      </c>
      <c r="B28" s="497"/>
      <c r="C28" s="498"/>
    </row>
    <row r="29" spans="1:3" ht="20.100000000000001" customHeight="1" x14ac:dyDescent="0.25">
      <c r="A29" s="484" t="s">
        <v>461</v>
      </c>
      <c r="B29" s="497"/>
      <c r="C29" s="498"/>
    </row>
    <row r="30" spans="1:3" ht="20.100000000000001" customHeight="1" x14ac:dyDescent="0.25">
      <c r="A30" s="484" t="s">
        <v>462</v>
      </c>
      <c r="B30" s="497"/>
      <c r="C30" s="498"/>
    </row>
    <row r="31" spans="1:3" ht="30.75" customHeight="1" x14ac:dyDescent="0.25">
      <c r="A31" s="499" t="s">
        <v>463</v>
      </c>
      <c r="B31" s="487">
        <v>-163391</v>
      </c>
      <c r="C31" s="488">
        <v>-163391</v>
      </c>
    </row>
    <row r="32" spans="1:3" ht="20.100000000000001" customHeight="1" x14ac:dyDescent="0.25">
      <c r="A32" s="484" t="s">
        <v>464</v>
      </c>
      <c r="B32" s="487">
        <v>-4446722</v>
      </c>
      <c r="C32" s="498"/>
    </row>
    <row r="33" spans="1:4" ht="20.100000000000001" customHeight="1" thickBot="1" x14ac:dyDescent="0.3">
      <c r="A33" s="484" t="s">
        <v>465</v>
      </c>
      <c r="B33" s="497"/>
      <c r="C33" s="498"/>
    </row>
    <row r="34" spans="1:4" ht="20.100000000000001" customHeight="1" thickBot="1" x14ac:dyDescent="0.3">
      <c r="A34" s="492" t="s">
        <v>466</v>
      </c>
      <c r="B34" s="493">
        <v>-4610113</v>
      </c>
      <c r="C34" s="494">
        <v>-163391</v>
      </c>
    </row>
    <row r="35" spans="1:4" ht="15" customHeight="1" thickBot="1" x14ac:dyDescent="0.3">
      <c r="A35" s="484"/>
      <c r="B35" s="497"/>
      <c r="C35" s="498"/>
    </row>
    <row r="36" spans="1:4" ht="20.100000000000001" customHeight="1" thickBot="1" x14ac:dyDescent="0.3">
      <c r="A36" s="492" t="s">
        <v>467</v>
      </c>
      <c r="B36" s="493">
        <v>-442402</v>
      </c>
      <c r="C36" s="494">
        <v>194854</v>
      </c>
    </row>
    <row r="37" spans="1:4" ht="8.25" customHeight="1" thickBot="1" x14ac:dyDescent="0.3">
      <c r="A37" s="484"/>
      <c r="B37" s="497"/>
      <c r="C37" s="498"/>
    </row>
    <row r="38" spans="1:4" ht="20.100000000000001" customHeight="1" thickBot="1" x14ac:dyDescent="0.3">
      <c r="A38" s="492" t="s">
        <v>468</v>
      </c>
      <c r="B38" s="493">
        <v>1247548</v>
      </c>
      <c r="C38" s="494">
        <v>805146</v>
      </c>
    </row>
    <row r="39" spans="1:4" ht="20.100000000000001" customHeight="1" thickBot="1" x14ac:dyDescent="0.3">
      <c r="A39" s="492" t="s">
        <v>469</v>
      </c>
      <c r="B39" s="500">
        <v>805146</v>
      </c>
      <c r="C39" s="501">
        <v>1000000</v>
      </c>
    </row>
    <row r="40" spans="1:4" ht="6.75" customHeight="1" thickTop="1" x14ac:dyDescent="0.25">
      <c r="A40" s="576"/>
      <c r="B40" s="576"/>
      <c r="C40" s="576"/>
    </row>
    <row r="41" spans="1:4" ht="15" customHeight="1" x14ac:dyDescent="0.25">
      <c r="B41" s="577"/>
      <c r="C41" s="577"/>
      <c r="D41" s="502"/>
    </row>
  </sheetData>
  <mergeCells count="6">
    <mergeCell ref="B41:C41"/>
    <mergeCell ref="A3:C3"/>
    <mergeCell ref="A7:A8"/>
    <mergeCell ref="B7:B8"/>
    <mergeCell ref="C7:C8"/>
    <mergeCell ref="A40:C4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70"/>
  <sheetViews>
    <sheetView workbookViewId="0">
      <selection activeCell="L48" sqref="L48"/>
    </sheetView>
  </sheetViews>
  <sheetFormatPr defaultColWidth="8.85546875" defaultRowHeight="16.5" x14ac:dyDescent="0.3"/>
  <cols>
    <col min="1" max="1" width="8.85546875" style="1" customWidth="1"/>
    <col min="2" max="2" width="41.28515625" style="1" customWidth="1"/>
    <col min="3" max="5" width="11.140625" style="1" customWidth="1"/>
    <col min="6" max="6" width="11.140625" style="2" customWidth="1"/>
    <col min="7" max="7" width="7.85546875" style="1" customWidth="1"/>
    <col min="8" max="9" width="7.7109375" style="1" customWidth="1"/>
    <col min="10" max="16384" width="8.85546875" style="1"/>
  </cols>
  <sheetData>
    <row r="1" spans="1:9" x14ac:dyDescent="0.3">
      <c r="A1" s="578" t="s">
        <v>80</v>
      </c>
      <c r="B1" s="578"/>
    </row>
    <row r="3" spans="1:9" x14ac:dyDescent="0.3">
      <c r="A3" s="2" t="s">
        <v>507</v>
      </c>
      <c r="B3" s="2"/>
      <c r="C3" s="2"/>
      <c r="D3" s="2"/>
      <c r="E3" s="2"/>
      <c r="G3" s="2"/>
      <c r="H3" s="2"/>
      <c r="I3" s="2"/>
    </row>
    <row r="4" spans="1:9" s="4" customFormat="1" x14ac:dyDescent="0.3">
      <c r="A4" s="579" t="s">
        <v>0</v>
      </c>
      <c r="B4" s="580" t="s">
        <v>1</v>
      </c>
      <c r="C4" s="581" t="s">
        <v>2</v>
      </c>
      <c r="D4" s="582" t="s">
        <v>3</v>
      </c>
      <c r="E4" s="582"/>
      <c r="F4" s="581" t="s">
        <v>4</v>
      </c>
      <c r="G4" s="583" t="s">
        <v>5</v>
      </c>
      <c r="H4" s="583"/>
      <c r="I4" s="583"/>
    </row>
    <row r="5" spans="1:9" s="2" customFormat="1" ht="27" x14ac:dyDescent="0.3">
      <c r="A5" s="579"/>
      <c r="B5" s="580"/>
      <c r="C5" s="581" t="s">
        <v>6</v>
      </c>
      <c r="D5" s="3" t="s">
        <v>7</v>
      </c>
      <c r="E5" s="5" t="s">
        <v>8</v>
      </c>
      <c r="F5" s="581"/>
      <c r="G5" s="6" t="s">
        <v>9</v>
      </c>
      <c r="H5" s="6" t="s">
        <v>10</v>
      </c>
      <c r="I5" s="7" t="s">
        <v>11</v>
      </c>
    </row>
    <row r="6" spans="1:9" s="9" customFormat="1" ht="9" customHeight="1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</row>
    <row r="7" spans="1:9" x14ac:dyDescent="0.3">
      <c r="A7" s="10" t="s">
        <v>12</v>
      </c>
      <c r="B7" s="11" t="s">
        <v>13</v>
      </c>
      <c r="C7" s="12">
        <f>+'[1]naš rdg'!C17</f>
        <v>13826287</v>
      </c>
      <c r="D7" s="12">
        <f>+'[1]naš rdg'!F17</f>
        <v>11844000</v>
      </c>
      <c r="E7" s="12">
        <f>+'[1]naš rdg'!I17</f>
        <v>12328000</v>
      </c>
      <c r="F7" s="12">
        <f>+'[1]naš rdg'!L17</f>
        <v>12601000</v>
      </c>
      <c r="G7" s="13">
        <f>+E7/C7*100</f>
        <v>89.163489807494955</v>
      </c>
      <c r="H7" s="13">
        <f>+E7/D7*100</f>
        <v>104.08645727794664</v>
      </c>
      <c r="I7" s="13">
        <f t="shared" ref="I7:I12" si="0">+F7/E7*100</f>
        <v>102.21447112264764</v>
      </c>
    </row>
    <row r="8" spans="1:9" x14ac:dyDescent="0.3">
      <c r="A8" s="14" t="s">
        <v>14</v>
      </c>
      <c r="B8" s="15" t="s">
        <v>15</v>
      </c>
      <c r="C8" s="16">
        <f>+'[1]naš rdg'!C14</f>
        <v>317306</v>
      </c>
      <c r="D8" s="16">
        <v>0</v>
      </c>
      <c r="E8" s="16">
        <v>0</v>
      </c>
      <c r="F8" s="16">
        <v>0</v>
      </c>
      <c r="G8" s="17" t="s">
        <v>16</v>
      </c>
      <c r="H8" s="17" t="s">
        <v>16</v>
      </c>
      <c r="I8" s="17" t="s">
        <v>16</v>
      </c>
    </row>
    <row r="9" spans="1:9" x14ac:dyDescent="0.3">
      <c r="A9" s="14" t="s">
        <v>17</v>
      </c>
      <c r="B9" s="18" t="s">
        <v>18</v>
      </c>
      <c r="C9" s="16">
        <f>+'[1]naš rdg'!C29</f>
        <v>11907114</v>
      </c>
      <c r="D9" s="16">
        <f>+'[1]naš rdg'!F29</f>
        <v>10200000</v>
      </c>
      <c r="E9" s="16">
        <f>+'[1]naš rdg'!I29</f>
        <v>10426000</v>
      </c>
      <c r="F9" s="16">
        <f>+'[1]naš rdg'!L29</f>
        <v>10790000</v>
      </c>
      <c r="G9" s="17">
        <f>+E9/C9*100</f>
        <v>87.561100028100853</v>
      </c>
      <c r="H9" s="17">
        <f>+E9/D9*100</f>
        <v>102.21568627450981</v>
      </c>
      <c r="I9" s="17">
        <f t="shared" si="0"/>
        <v>103.49127182044889</v>
      </c>
    </row>
    <row r="10" spans="1:9" x14ac:dyDescent="0.3">
      <c r="A10" s="14" t="s">
        <v>19</v>
      </c>
      <c r="B10" s="15" t="s">
        <v>20</v>
      </c>
      <c r="C10" s="16">
        <f>+'[1]naš rdg'!C23</f>
        <v>508372</v>
      </c>
      <c r="D10" s="16">
        <f>+'[1]naš rdg'!F23</f>
        <v>520000</v>
      </c>
      <c r="E10" s="16">
        <f>+'[1]naš rdg'!I23</f>
        <v>520000</v>
      </c>
      <c r="F10" s="16">
        <f>+'[1]naš rdg'!L23</f>
        <v>530000</v>
      </c>
      <c r="G10" s="17">
        <f t="shared" ref="G10:G12" si="1">+E10/C10*100</f>
        <v>102.28730142494081</v>
      </c>
      <c r="H10" s="17">
        <f t="shared" ref="H10:H12" si="2">+E10/D10*100</f>
        <v>100</v>
      </c>
      <c r="I10" s="17">
        <f t="shared" si="0"/>
        <v>101.92307692307692</v>
      </c>
    </row>
    <row r="11" spans="1:9" s="23" customFormat="1" x14ac:dyDescent="0.3">
      <c r="A11" s="19" t="s">
        <v>21</v>
      </c>
      <c r="B11" s="20" t="s">
        <v>22</v>
      </c>
      <c r="C11" s="21">
        <f>(C7-C8)-(C9-C10)</f>
        <v>2110239</v>
      </c>
      <c r="D11" s="21">
        <f t="shared" ref="D11:F11" si="3">(D7-D8)-(D9-D10)</f>
        <v>2164000</v>
      </c>
      <c r="E11" s="21">
        <f t="shared" si="3"/>
        <v>2422000</v>
      </c>
      <c r="F11" s="21">
        <f t="shared" si="3"/>
        <v>2341000</v>
      </c>
      <c r="G11" s="22">
        <f t="shared" si="1"/>
        <v>114.77372942116983</v>
      </c>
      <c r="H11" s="22">
        <f t="shared" si="2"/>
        <v>111.92236598890943</v>
      </c>
      <c r="I11" s="22">
        <f t="shared" si="0"/>
        <v>96.655656482246073</v>
      </c>
    </row>
    <row r="12" spans="1:9" s="23" customFormat="1" x14ac:dyDescent="0.3">
      <c r="A12" s="24" t="s">
        <v>23</v>
      </c>
      <c r="B12" s="25" t="s">
        <v>24</v>
      </c>
      <c r="C12" s="26">
        <f>C7-C9</f>
        <v>1919173</v>
      </c>
      <c r="D12" s="26">
        <f>D7-D9</f>
        <v>1644000</v>
      </c>
      <c r="E12" s="26">
        <f>E7-E9</f>
        <v>1902000</v>
      </c>
      <c r="F12" s="26">
        <f>F7-F9</f>
        <v>1811000</v>
      </c>
      <c r="G12" s="27">
        <f t="shared" si="1"/>
        <v>99.10518749482199</v>
      </c>
      <c r="H12" s="27">
        <f t="shared" si="2"/>
        <v>115.69343065693431</v>
      </c>
      <c r="I12" s="27">
        <f t="shared" si="0"/>
        <v>95.21556256572029</v>
      </c>
    </row>
    <row r="13" spans="1:9" x14ac:dyDescent="0.3">
      <c r="A13" s="2"/>
      <c r="B13" s="2"/>
      <c r="C13" s="2"/>
      <c r="D13" s="2"/>
      <c r="E13" s="2"/>
      <c r="G13" s="2"/>
      <c r="H13" s="2"/>
      <c r="I13" s="2"/>
    </row>
    <row r="14" spans="1:9" x14ac:dyDescent="0.3">
      <c r="A14" s="2"/>
      <c r="B14" s="2"/>
      <c r="C14" s="2"/>
      <c r="D14" s="2"/>
      <c r="E14" s="2"/>
      <c r="G14" s="2"/>
      <c r="H14" s="2"/>
      <c r="I14" s="2"/>
    </row>
    <row r="15" spans="1:9" x14ac:dyDescent="0.3">
      <c r="A15" s="2" t="s">
        <v>513</v>
      </c>
      <c r="B15" s="2"/>
      <c r="C15" s="2"/>
      <c r="D15" s="2"/>
      <c r="E15" s="2"/>
      <c r="G15" s="2"/>
      <c r="H15" s="2"/>
      <c r="I15" s="2"/>
    </row>
    <row r="16" spans="1:9" s="4" customFormat="1" x14ac:dyDescent="0.3">
      <c r="A16" s="579" t="s">
        <v>0</v>
      </c>
      <c r="B16" s="580" t="s">
        <v>1</v>
      </c>
      <c r="C16" s="581" t="s">
        <v>2</v>
      </c>
      <c r="D16" s="582" t="s">
        <v>3</v>
      </c>
      <c r="E16" s="582"/>
      <c r="F16" s="581" t="s">
        <v>4</v>
      </c>
      <c r="G16" s="583" t="s">
        <v>5</v>
      </c>
      <c r="H16" s="583"/>
      <c r="I16" s="583"/>
    </row>
    <row r="17" spans="1:9" s="2" customFormat="1" ht="27" x14ac:dyDescent="0.3">
      <c r="A17" s="579"/>
      <c r="B17" s="580"/>
      <c r="C17" s="581" t="s">
        <v>6</v>
      </c>
      <c r="D17" s="3" t="s">
        <v>7</v>
      </c>
      <c r="E17" s="5" t="s">
        <v>8</v>
      </c>
      <c r="F17" s="581"/>
      <c r="G17" s="6" t="s">
        <v>9</v>
      </c>
      <c r="H17" s="6" t="s">
        <v>10</v>
      </c>
      <c r="I17" s="7" t="s">
        <v>11</v>
      </c>
    </row>
    <row r="18" spans="1:9" s="9" customFormat="1" ht="9" customHeight="1" x14ac:dyDescent="0.25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</row>
    <row r="19" spans="1:9" x14ac:dyDescent="0.3">
      <c r="A19" s="10" t="s">
        <v>12</v>
      </c>
      <c r="B19" s="10" t="s">
        <v>25</v>
      </c>
      <c r="C19" s="28">
        <f>+'[1]naš rdg'!C19</f>
        <v>13882025</v>
      </c>
      <c r="D19" s="28">
        <f>+'[1]naš rdg'!F19</f>
        <v>11904000</v>
      </c>
      <c r="E19" s="28">
        <f>+'[1]naš rdg'!I19</f>
        <v>12403000</v>
      </c>
      <c r="F19" s="28">
        <f>+'[1]naš rdg'!L19</f>
        <v>12681000</v>
      </c>
      <c r="G19" s="29">
        <f>+E19/C19*100</f>
        <v>89.345754671958872</v>
      </c>
      <c r="H19" s="29">
        <f>+E19/D19*100</f>
        <v>104.1918682795699</v>
      </c>
      <c r="I19" s="29">
        <f t="shared" ref="I19:I23" si="4">+F19/E19*100</f>
        <v>102.24139321131985</v>
      </c>
    </row>
    <row r="20" spans="1:9" x14ac:dyDescent="0.3">
      <c r="A20" s="14" t="s">
        <v>17</v>
      </c>
      <c r="B20" s="14" t="s">
        <v>26</v>
      </c>
      <c r="C20" s="30">
        <f>+'[1]naš rdg'!C31</f>
        <v>13081912</v>
      </c>
      <c r="D20" s="30">
        <f>+'[1]naš rdg'!F31</f>
        <v>10547000</v>
      </c>
      <c r="E20" s="30">
        <f>+'[1]naš rdg'!I31</f>
        <v>10769000</v>
      </c>
      <c r="F20" s="30">
        <f>+'[1]naš rdg'!L31</f>
        <v>10882000</v>
      </c>
      <c r="G20" s="31">
        <f>+E20/C20*100</f>
        <v>82.319770993720184</v>
      </c>
      <c r="H20" s="31">
        <f>+E20/D20*100</f>
        <v>102.10486394235328</v>
      </c>
      <c r="I20" s="31">
        <f t="shared" si="4"/>
        <v>101.04930819946141</v>
      </c>
    </row>
    <row r="21" spans="1:9" x14ac:dyDescent="0.3">
      <c r="A21" s="14" t="s">
        <v>21</v>
      </c>
      <c r="B21" s="14" t="s">
        <v>27</v>
      </c>
      <c r="C21" s="30">
        <f>C19-C20</f>
        <v>800113</v>
      </c>
      <c r="D21" s="30">
        <f>D19-D20</f>
        <v>1357000</v>
      </c>
      <c r="E21" s="30">
        <f>E19-E20</f>
        <v>1634000</v>
      </c>
      <c r="F21" s="30">
        <f>F19-F20</f>
        <v>1799000</v>
      </c>
      <c r="G21" s="31">
        <f>+E21/C21*100</f>
        <v>204.22115376203109</v>
      </c>
      <c r="H21" s="31">
        <f>+E21/D21*100</f>
        <v>120.41267501842299</v>
      </c>
      <c r="I21" s="31">
        <f t="shared" si="4"/>
        <v>110.09791921664626</v>
      </c>
    </row>
    <row r="22" spans="1:9" x14ac:dyDescent="0.3">
      <c r="A22" s="14" t="s">
        <v>23</v>
      </c>
      <c r="B22" s="14" t="s">
        <v>28</v>
      </c>
      <c r="C22" s="30">
        <f>+'[1]naš rdg'!C33</f>
        <v>63645</v>
      </c>
      <c r="D22" s="30">
        <f>+'[1]naš rdg'!F33</f>
        <v>0</v>
      </c>
      <c r="E22" s="30">
        <f>+'[1]naš rdg'!I33</f>
        <v>294120</v>
      </c>
      <c r="F22" s="30">
        <f>+'[1]naš rdg'!L33</f>
        <v>323820</v>
      </c>
      <c r="G22" s="31">
        <f>+E22/C22*100</f>
        <v>462.12585434833846</v>
      </c>
      <c r="H22" s="31"/>
      <c r="I22" s="31">
        <f t="shared" si="4"/>
        <v>110.09791921664626</v>
      </c>
    </row>
    <row r="23" spans="1:9" x14ac:dyDescent="0.3">
      <c r="A23" s="32" t="s">
        <v>29</v>
      </c>
      <c r="B23" s="33" t="s">
        <v>30</v>
      </c>
      <c r="C23" s="34">
        <f>C21-C22</f>
        <v>736468</v>
      </c>
      <c r="D23" s="34">
        <f>D21-D22</f>
        <v>1357000</v>
      </c>
      <c r="E23" s="34">
        <f>E21-E22</f>
        <v>1339880</v>
      </c>
      <c r="F23" s="34">
        <f>F21-F22</f>
        <v>1475180</v>
      </c>
      <c r="G23" s="35">
        <f>+E23/C23*100</f>
        <v>181.93322724137369</v>
      </c>
      <c r="H23" s="35">
        <f>+E23/D23*100</f>
        <v>98.73839351510685</v>
      </c>
      <c r="I23" s="35">
        <f t="shared" si="4"/>
        <v>110.09791921664626</v>
      </c>
    </row>
    <row r="24" spans="1:9" x14ac:dyDescent="0.3">
      <c r="C24" s="36"/>
      <c r="D24" s="36"/>
      <c r="E24" s="36"/>
      <c r="F24" s="36"/>
      <c r="G24" s="37"/>
      <c r="H24" s="37"/>
      <c r="I24" s="37"/>
    </row>
    <row r="25" spans="1:9" x14ac:dyDescent="0.3">
      <c r="C25" s="584"/>
      <c r="D25" s="584"/>
      <c r="E25" s="584"/>
      <c r="F25" s="584"/>
      <c r="G25" s="585"/>
      <c r="H25" s="585"/>
      <c r="I25" s="585"/>
    </row>
    <row r="26" spans="1:9" x14ac:dyDescent="0.3">
      <c r="A26" s="2" t="s">
        <v>512</v>
      </c>
      <c r="B26" s="2"/>
      <c r="C26" s="2"/>
      <c r="D26" s="2"/>
      <c r="E26" s="2"/>
      <c r="G26" s="2"/>
      <c r="H26" s="2"/>
      <c r="I26" s="2"/>
    </row>
    <row r="27" spans="1:9" s="4" customFormat="1" x14ac:dyDescent="0.3">
      <c r="A27" s="579" t="s">
        <v>0</v>
      </c>
      <c r="B27" s="580" t="s">
        <v>1</v>
      </c>
      <c r="C27" s="581" t="s">
        <v>2</v>
      </c>
      <c r="D27" s="582" t="s">
        <v>3</v>
      </c>
      <c r="E27" s="582"/>
      <c r="F27" s="581" t="s">
        <v>4</v>
      </c>
      <c r="G27" s="583" t="s">
        <v>5</v>
      </c>
      <c r="H27" s="583"/>
      <c r="I27" s="583"/>
    </row>
    <row r="28" spans="1:9" s="2" customFormat="1" ht="27" x14ac:dyDescent="0.3">
      <c r="A28" s="579"/>
      <c r="B28" s="580"/>
      <c r="C28" s="581" t="s">
        <v>6</v>
      </c>
      <c r="D28" s="3" t="s">
        <v>7</v>
      </c>
      <c r="E28" s="5" t="s">
        <v>8</v>
      </c>
      <c r="F28" s="581"/>
      <c r="G28" s="6" t="s">
        <v>9</v>
      </c>
      <c r="H28" s="6" t="s">
        <v>10</v>
      </c>
      <c r="I28" s="7" t="s">
        <v>11</v>
      </c>
    </row>
    <row r="29" spans="1:9" s="9" customFormat="1" ht="9" customHeight="1" x14ac:dyDescent="0.25">
      <c r="A29" s="8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8">
        <v>8</v>
      </c>
      <c r="I29" s="8">
        <v>9</v>
      </c>
    </row>
    <row r="30" spans="1:9" x14ac:dyDescent="0.3">
      <c r="A30" s="38">
        <v>1</v>
      </c>
      <c r="B30" s="10" t="s">
        <v>31</v>
      </c>
      <c r="C30" s="28">
        <f>+'[1]naš rdg'!C10</f>
        <v>10182978</v>
      </c>
      <c r="D30" s="28">
        <f>+'[1]naš rdg'!F10</f>
        <v>11131000</v>
      </c>
      <c r="E30" s="28">
        <f>+'[1]naš rdg'!I10</f>
        <v>11652000</v>
      </c>
      <c r="F30" s="28">
        <f>+'[1]naš rdg'!L10</f>
        <v>12128000</v>
      </c>
      <c r="G30" s="29">
        <f t="shared" ref="G30:G38" si="5">+E30/C30*100</f>
        <v>114.42625133826274</v>
      </c>
      <c r="H30" s="29">
        <f t="shared" ref="H30:I38" si="6">+E30/D30*100</f>
        <v>104.68062168717995</v>
      </c>
      <c r="I30" s="29">
        <f t="shared" si="6"/>
        <v>104.08513559903878</v>
      </c>
    </row>
    <row r="31" spans="1:9" x14ac:dyDescent="0.3">
      <c r="A31" s="39">
        <v>2</v>
      </c>
      <c r="B31" s="14" t="s">
        <v>32</v>
      </c>
      <c r="C31" s="30">
        <f>+'[1]naš rdg'!C11</f>
        <v>5341</v>
      </c>
      <c r="D31" s="30">
        <f>+'[1]naš rdg'!F11</f>
        <v>5200</v>
      </c>
      <c r="E31" s="30">
        <f>+'[1]naš rdg'!I11</f>
        <v>6000</v>
      </c>
      <c r="F31" s="30">
        <f>+'[1]naš rdg'!L11</f>
        <v>6000</v>
      </c>
      <c r="G31" s="31">
        <f t="shared" si="5"/>
        <v>112.33851338700617</v>
      </c>
      <c r="H31" s="31">
        <f t="shared" si="6"/>
        <v>115.38461538461537</v>
      </c>
      <c r="I31" s="31">
        <f t="shared" si="6"/>
        <v>100</v>
      </c>
    </row>
    <row r="32" spans="1:9" x14ac:dyDescent="0.3">
      <c r="A32" s="39">
        <v>3</v>
      </c>
      <c r="B32" s="14" t="s">
        <v>33</v>
      </c>
      <c r="C32" s="30">
        <f>+'[1]naš rdg'!C12</f>
        <v>51402</v>
      </c>
      <c r="D32" s="30">
        <f>+'[1]naš rdg'!F12</f>
        <v>20000</v>
      </c>
      <c r="E32" s="30">
        <f>+'[1]naš rdg'!I12</f>
        <v>20000</v>
      </c>
      <c r="F32" s="30">
        <f>+'[1]naš rdg'!L12</f>
        <v>20000</v>
      </c>
      <c r="G32" s="31">
        <f t="shared" si="5"/>
        <v>38.908991868020699</v>
      </c>
      <c r="H32" s="31">
        <f t="shared" si="6"/>
        <v>100</v>
      </c>
      <c r="I32" s="31">
        <f t="shared" si="6"/>
        <v>100</v>
      </c>
    </row>
    <row r="33" spans="1:9" x14ac:dyDescent="0.3">
      <c r="A33" s="39" t="s">
        <v>23</v>
      </c>
      <c r="B33" s="14" t="s">
        <v>34</v>
      </c>
      <c r="C33" s="30">
        <f>+'[1]naš rdg'!C13</f>
        <v>24174</v>
      </c>
      <c r="D33" s="30">
        <f>+'[1]naš rdg'!F13</f>
        <v>60000</v>
      </c>
      <c r="E33" s="30">
        <f>+'[1]naš rdg'!I13</f>
        <v>60000</v>
      </c>
      <c r="F33" s="30">
        <f>+'[1]naš rdg'!L13</f>
        <v>60000</v>
      </c>
      <c r="G33" s="31">
        <f t="shared" si="5"/>
        <v>248.20054604120131</v>
      </c>
      <c r="H33" s="31">
        <f t="shared" si="6"/>
        <v>100</v>
      </c>
      <c r="I33" s="31">
        <f t="shared" si="6"/>
        <v>100</v>
      </c>
    </row>
    <row r="34" spans="1:9" x14ac:dyDescent="0.3">
      <c r="A34" s="39">
        <v>5</v>
      </c>
      <c r="B34" s="14" t="str">
        <f>+'[1]naš rdg'!B14</f>
        <v>Prihodi od revalorizacije</v>
      </c>
      <c r="C34" s="30">
        <f>+'[1]naš rdg'!C14</f>
        <v>317306</v>
      </c>
      <c r="D34" s="30">
        <f>+'[1]naš rdg'!F14</f>
        <v>0</v>
      </c>
      <c r="E34" s="30">
        <f>+'[1]naš rdg'!I14</f>
        <v>0</v>
      </c>
      <c r="F34" s="30">
        <f>+'[1]naš rdg'!L14</f>
        <v>0</v>
      </c>
      <c r="G34" s="31"/>
      <c r="H34" s="31"/>
      <c r="I34" s="31"/>
    </row>
    <row r="35" spans="1:9" x14ac:dyDescent="0.3">
      <c r="A35" s="39">
        <v>6</v>
      </c>
      <c r="B35" s="14" t="s">
        <v>35</v>
      </c>
      <c r="C35" s="30">
        <f>+'[1]naš rdg'!C15</f>
        <v>3245086</v>
      </c>
      <c r="D35" s="30">
        <f>+'[1]naš rdg'!F15</f>
        <v>627800</v>
      </c>
      <c r="E35" s="30">
        <f>+'[1]naš rdg'!I15</f>
        <v>590000</v>
      </c>
      <c r="F35" s="30">
        <f>+'[1]naš rdg'!L15</f>
        <v>387000</v>
      </c>
      <c r="G35" s="31">
        <f t="shared" si="5"/>
        <v>18.18133633438374</v>
      </c>
      <c r="H35" s="31">
        <f t="shared" si="6"/>
        <v>93.978974195603698</v>
      </c>
      <c r="I35" s="31">
        <f t="shared" si="6"/>
        <v>65.593220338983045</v>
      </c>
    </row>
    <row r="36" spans="1:9" x14ac:dyDescent="0.3">
      <c r="A36" s="39">
        <v>7</v>
      </c>
      <c r="B36" s="14" t="s">
        <v>36</v>
      </c>
      <c r="C36" s="30">
        <f>+SUM(C30:C35)</f>
        <v>13826287</v>
      </c>
      <c r="D36" s="30">
        <f>+SUM(D30:D35)</f>
        <v>11844000</v>
      </c>
      <c r="E36" s="30">
        <f t="shared" ref="E36:F36" si="7">E30+E31+E32+E33+E35</f>
        <v>12328000</v>
      </c>
      <c r="F36" s="30">
        <f t="shared" si="7"/>
        <v>12601000</v>
      </c>
      <c r="G36" s="31">
        <f t="shared" si="5"/>
        <v>89.163489807494955</v>
      </c>
      <c r="H36" s="31">
        <f t="shared" si="6"/>
        <v>104.08645727794664</v>
      </c>
      <c r="I36" s="31">
        <f t="shared" si="6"/>
        <v>102.21447112264764</v>
      </c>
    </row>
    <row r="37" spans="1:9" x14ac:dyDescent="0.3">
      <c r="A37" s="40">
        <v>8</v>
      </c>
      <c r="B37" s="41" t="s">
        <v>37</v>
      </c>
      <c r="C37" s="42">
        <f>+'[1]naš rdg'!C18</f>
        <v>55738</v>
      </c>
      <c r="D37" s="42">
        <f>+'[1]naš rdg'!F18</f>
        <v>60000</v>
      </c>
      <c r="E37" s="42">
        <f>+'[1]naš rdg'!I18</f>
        <v>75000</v>
      </c>
      <c r="F37" s="42">
        <f>+'[1]naš rdg'!L18</f>
        <v>80000</v>
      </c>
      <c r="G37" s="43">
        <f t="shared" si="5"/>
        <v>134.55811116294089</v>
      </c>
      <c r="H37" s="43">
        <f t="shared" si="6"/>
        <v>125</v>
      </c>
      <c r="I37" s="43">
        <f t="shared" si="6"/>
        <v>106.66666666666667</v>
      </c>
    </row>
    <row r="38" spans="1:9" x14ac:dyDescent="0.3">
      <c r="A38" s="34">
        <v>9</v>
      </c>
      <c r="B38" s="34" t="s">
        <v>38</v>
      </c>
      <c r="C38" s="34">
        <f t="shared" ref="C38:D38" si="8">SUM(C36:C37)</f>
        <v>13882025</v>
      </c>
      <c r="D38" s="34">
        <f t="shared" si="8"/>
        <v>11904000</v>
      </c>
      <c r="E38" s="34">
        <f t="shared" ref="E38:F38" si="9">SUM(E36:E37)</f>
        <v>12403000</v>
      </c>
      <c r="F38" s="34">
        <f t="shared" si="9"/>
        <v>12681000</v>
      </c>
      <c r="G38" s="35">
        <f t="shared" si="5"/>
        <v>89.345754671958872</v>
      </c>
      <c r="H38" s="35">
        <f t="shared" si="6"/>
        <v>104.1918682795699</v>
      </c>
      <c r="I38" s="35">
        <f t="shared" si="6"/>
        <v>102.24139321131985</v>
      </c>
    </row>
    <row r="39" spans="1:9" x14ac:dyDescent="0.3">
      <c r="A39" s="44"/>
      <c r="B39" s="2"/>
      <c r="C39" s="45"/>
      <c r="D39" s="45"/>
      <c r="E39" s="45"/>
      <c r="F39" s="45"/>
      <c r="G39" s="46"/>
      <c r="H39" s="46"/>
      <c r="I39" s="46"/>
    </row>
    <row r="40" spans="1:9" x14ac:dyDescent="0.3">
      <c r="A40" s="44"/>
      <c r="B40" s="2"/>
      <c r="C40" s="45"/>
      <c r="D40" s="45"/>
      <c r="E40" s="45"/>
      <c r="F40" s="45"/>
      <c r="G40" s="46"/>
      <c r="H40" s="46"/>
      <c r="I40" s="46"/>
    </row>
    <row r="41" spans="1:9" x14ac:dyDescent="0.3">
      <c r="A41" s="586" t="s">
        <v>511</v>
      </c>
      <c r="B41" s="2"/>
      <c r="C41" s="45"/>
      <c r="D41" s="45"/>
      <c r="E41" s="45"/>
      <c r="F41" s="45"/>
      <c r="G41" s="46"/>
      <c r="H41" s="46"/>
      <c r="I41" s="46"/>
    </row>
    <row r="42" spans="1:9" x14ac:dyDescent="0.3">
      <c r="A42" s="579" t="s">
        <v>0</v>
      </c>
      <c r="B42" s="580" t="s">
        <v>1</v>
      </c>
      <c r="C42" s="581" t="s">
        <v>2</v>
      </c>
      <c r="D42" s="582" t="s">
        <v>3</v>
      </c>
      <c r="E42" s="582"/>
      <c r="F42" s="581" t="s">
        <v>4</v>
      </c>
      <c r="G42" s="583" t="s">
        <v>5</v>
      </c>
      <c r="H42" s="583"/>
      <c r="I42" s="583"/>
    </row>
    <row r="43" spans="1:9" ht="27" x14ac:dyDescent="0.3">
      <c r="A43" s="579"/>
      <c r="B43" s="580"/>
      <c r="C43" s="581" t="s">
        <v>6</v>
      </c>
      <c r="D43" s="3" t="s">
        <v>7</v>
      </c>
      <c r="E43" s="5" t="s">
        <v>8</v>
      </c>
      <c r="F43" s="581"/>
      <c r="G43" s="6" t="s">
        <v>9</v>
      </c>
      <c r="H43" s="6" t="s">
        <v>10</v>
      </c>
      <c r="I43" s="7" t="s">
        <v>11</v>
      </c>
    </row>
    <row r="44" spans="1:9" ht="9" customHeight="1" x14ac:dyDescent="0.3">
      <c r="A44" s="8">
        <v>1</v>
      </c>
      <c r="B44" s="8">
        <v>2</v>
      </c>
      <c r="C44" s="8">
        <v>3</v>
      </c>
      <c r="D44" s="8">
        <v>4</v>
      </c>
      <c r="E44" s="8">
        <v>5</v>
      </c>
      <c r="F44" s="8">
        <v>6</v>
      </c>
      <c r="G44" s="8">
        <v>7</v>
      </c>
      <c r="H44" s="8">
        <v>8</v>
      </c>
      <c r="I44" s="8">
        <v>9</v>
      </c>
    </row>
    <row r="45" spans="1:9" x14ac:dyDescent="0.3">
      <c r="A45" s="38" t="s">
        <v>12</v>
      </c>
      <c r="B45" s="10" t="s">
        <v>470</v>
      </c>
      <c r="C45" s="28">
        <f>+'[2]naš rdg'!C7</f>
        <v>1604236</v>
      </c>
      <c r="D45" s="28">
        <f>+'[2]naš rdg'!F7</f>
        <v>1980000</v>
      </c>
      <c r="E45" s="28">
        <f>+'[2]naš rdg'!I7</f>
        <v>2139000</v>
      </c>
      <c r="F45" s="28">
        <f>+'[2]naš rdg'!L7</f>
        <v>1759000</v>
      </c>
      <c r="G45" s="29">
        <f>+E45/C45*100</f>
        <v>133.33449691940586</v>
      </c>
      <c r="H45" s="29">
        <f>+E45/D45*100</f>
        <v>108.03030303030303</v>
      </c>
      <c r="I45" s="29">
        <f t="shared" ref="I45:I48" si="10">+F45/E45*100</f>
        <v>82.234689107059381</v>
      </c>
    </row>
    <row r="46" spans="1:9" x14ac:dyDescent="0.3">
      <c r="A46" s="39" t="s">
        <v>17</v>
      </c>
      <c r="B46" s="14" t="s">
        <v>471</v>
      </c>
      <c r="C46" s="30">
        <f>+'[2]naš rdg'!C8</f>
        <v>1890180</v>
      </c>
      <c r="D46" s="30">
        <f>+'[2]naš rdg'!F8</f>
        <v>1651000</v>
      </c>
      <c r="E46" s="30">
        <f>+'[2]naš rdg'!I8</f>
        <v>1948000</v>
      </c>
      <c r="F46" s="30">
        <f>+'[2]naš rdg'!L8</f>
        <v>2105000</v>
      </c>
      <c r="G46" s="31">
        <f>+E46/C46*100</f>
        <v>103.05896792898031</v>
      </c>
      <c r="H46" s="31">
        <f>+E46/D46*100</f>
        <v>117.98909751665659</v>
      </c>
      <c r="I46" s="31">
        <f t="shared" si="10"/>
        <v>108.05954825462013</v>
      </c>
    </row>
    <row r="47" spans="1:9" x14ac:dyDescent="0.3">
      <c r="A47" s="40" t="s">
        <v>21</v>
      </c>
      <c r="B47" s="41" t="s">
        <v>472</v>
      </c>
      <c r="C47" s="42">
        <f>+'[2]naš rdg'!C9</f>
        <v>6688562</v>
      </c>
      <c r="D47" s="42">
        <f>+'[2]naš rdg'!F9</f>
        <v>7500000</v>
      </c>
      <c r="E47" s="42">
        <f>+'[2]naš rdg'!I9</f>
        <v>7565000</v>
      </c>
      <c r="F47" s="42">
        <f>+'[2]naš rdg'!L9</f>
        <v>8264000</v>
      </c>
      <c r="G47" s="43">
        <f>+E47/C47*100</f>
        <v>113.10353406307662</v>
      </c>
      <c r="H47" s="43">
        <f>+E47/D47*100</f>
        <v>100.86666666666666</v>
      </c>
      <c r="I47" s="43">
        <f t="shared" si="10"/>
        <v>109.23992068737607</v>
      </c>
    </row>
    <row r="48" spans="1:9" x14ac:dyDescent="0.3">
      <c r="A48" s="34" t="s">
        <v>23</v>
      </c>
      <c r="B48" s="34" t="s">
        <v>473</v>
      </c>
      <c r="C48" s="34">
        <f>SUM(C45:C47)</f>
        <v>10182978</v>
      </c>
      <c r="D48" s="34">
        <f>SUM(D45:D47)</f>
        <v>11131000</v>
      </c>
      <c r="E48" s="34">
        <f>SUM(E45:E47)</f>
        <v>11652000</v>
      </c>
      <c r="F48" s="34">
        <f>SUM(F45:F47)</f>
        <v>12128000</v>
      </c>
      <c r="G48" s="35">
        <f>+E48/C48*100</f>
        <v>114.42625133826274</v>
      </c>
      <c r="H48" s="35">
        <f>+E48/D48*100</f>
        <v>104.68062168717995</v>
      </c>
      <c r="I48" s="35">
        <f t="shared" si="10"/>
        <v>104.08513559903878</v>
      </c>
    </row>
    <row r="49" spans="1:9" x14ac:dyDescent="0.3">
      <c r="A49" s="44"/>
      <c r="B49" s="2"/>
      <c r="C49" s="45"/>
      <c r="D49" s="45"/>
      <c r="E49" s="45"/>
      <c r="F49" s="45"/>
      <c r="G49" s="46"/>
      <c r="H49" s="46"/>
      <c r="I49" s="46"/>
    </row>
    <row r="50" spans="1:9" x14ac:dyDescent="0.3">
      <c r="A50" s="44"/>
      <c r="B50" s="2"/>
      <c r="C50" s="45"/>
      <c r="D50" s="45"/>
      <c r="E50" s="45"/>
      <c r="F50" s="45"/>
      <c r="G50" s="46"/>
      <c r="H50" s="46"/>
      <c r="I50" s="46"/>
    </row>
    <row r="51" spans="1:9" x14ac:dyDescent="0.3">
      <c r="A51" s="1" t="s">
        <v>515</v>
      </c>
    </row>
    <row r="52" spans="1:9" s="4" customFormat="1" x14ac:dyDescent="0.3">
      <c r="A52" s="579" t="s">
        <v>0</v>
      </c>
      <c r="B52" s="580" t="s">
        <v>1</v>
      </c>
      <c r="C52" s="581" t="s">
        <v>2</v>
      </c>
      <c r="D52" s="582" t="s">
        <v>3</v>
      </c>
      <c r="E52" s="582"/>
      <c r="F52" s="581" t="s">
        <v>4</v>
      </c>
      <c r="G52" s="583" t="s">
        <v>5</v>
      </c>
      <c r="H52" s="583"/>
      <c r="I52" s="583"/>
    </row>
    <row r="53" spans="1:9" s="2" customFormat="1" ht="27" x14ac:dyDescent="0.3">
      <c r="A53" s="579"/>
      <c r="B53" s="580"/>
      <c r="C53" s="581" t="s">
        <v>6</v>
      </c>
      <c r="D53" s="3" t="s">
        <v>7</v>
      </c>
      <c r="E53" s="5" t="s">
        <v>8</v>
      </c>
      <c r="F53" s="581"/>
      <c r="G53" s="6" t="s">
        <v>9</v>
      </c>
      <c r="H53" s="6" t="s">
        <v>10</v>
      </c>
      <c r="I53" s="7" t="s">
        <v>11</v>
      </c>
    </row>
    <row r="54" spans="1:9" s="9" customFormat="1" ht="9" customHeight="1" x14ac:dyDescent="0.25">
      <c r="A54" s="8">
        <v>1</v>
      </c>
      <c r="B54" s="8">
        <v>2</v>
      </c>
      <c r="C54" s="8">
        <v>3</v>
      </c>
      <c r="D54" s="8">
        <v>4</v>
      </c>
      <c r="E54" s="8">
        <v>5</v>
      </c>
      <c r="F54" s="8">
        <v>6</v>
      </c>
      <c r="G54" s="8">
        <v>7</v>
      </c>
      <c r="H54" s="8">
        <v>8</v>
      </c>
      <c r="I54" s="8">
        <v>9</v>
      </c>
    </row>
    <row r="55" spans="1:9" x14ac:dyDescent="0.3">
      <c r="A55" s="47">
        <v>1</v>
      </c>
      <c r="B55" s="11" t="s">
        <v>48</v>
      </c>
      <c r="C55" s="48">
        <f>+'[1]analitika troškova'!E7</f>
        <v>4811648</v>
      </c>
      <c r="D55" s="48">
        <f>+'[1]analitika troškova'!F7</f>
        <v>2601000</v>
      </c>
      <c r="E55" s="48">
        <f>+'[1]analitika troškova'!G7</f>
        <v>2732000</v>
      </c>
      <c r="F55" s="48">
        <f>+'[1]analitika troškova'!H7</f>
        <v>2838000</v>
      </c>
      <c r="G55" s="13">
        <f t="shared" ref="G55:G69" si="11">+E55/C55*100</f>
        <v>56.778883243329524</v>
      </c>
      <c r="H55" s="13">
        <f t="shared" ref="H55:I69" si="12">+E55/D55*100</f>
        <v>105.03652441368705</v>
      </c>
      <c r="I55" s="13">
        <f t="shared" si="12"/>
        <v>103.87994143484627</v>
      </c>
    </row>
    <row r="56" spans="1:9" x14ac:dyDescent="0.3">
      <c r="A56" s="49">
        <v>2</v>
      </c>
      <c r="B56" s="18" t="s">
        <v>49</v>
      </c>
      <c r="C56" s="50">
        <f>+'[1]analitika troškova'!E36</f>
        <v>2363308</v>
      </c>
      <c r="D56" s="50">
        <f>+'[1]analitika troškova'!F36</f>
        <v>2822000</v>
      </c>
      <c r="E56" s="50">
        <f>+'[1]analitika troškova'!G36</f>
        <v>2775000</v>
      </c>
      <c r="F56" s="50">
        <f>+'[1]analitika troškova'!H36</f>
        <v>2513000</v>
      </c>
      <c r="G56" s="17">
        <f t="shared" si="11"/>
        <v>117.42015852356104</v>
      </c>
      <c r="H56" s="17">
        <f t="shared" si="12"/>
        <v>98.334514528703039</v>
      </c>
      <c r="I56" s="17">
        <f t="shared" si="12"/>
        <v>90.558558558558559</v>
      </c>
    </row>
    <row r="57" spans="1:9" x14ac:dyDescent="0.3">
      <c r="A57" s="49">
        <v>3</v>
      </c>
      <c r="B57" s="18" t="s">
        <v>50</v>
      </c>
      <c r="C57" s="51">
        <f>+'[1]analitika troškova'!E168</f>
        <v>3022596</v>
      </c>
      <c r="D57" s="51">
        <f>+'[1]analitika troškova'!F168</f>
        <v>3465000</v>
      </c>
      <c r="E57" s="51">
        <f>+'[1]analitika troškova'!G168</f>
        <v>3570000</v>
      </c>
      <c r="F57" s="51">
        <f>+'[1]analitika troškova'!H168</f>
        <v>4050000</v>
      </c>
      <c r="G57" s="17">
        <f t="shared" si="11"/>
        <v>118.1103925235129</v>
      </c>
      <c r="H57" s="17">
        <f t="shared" si="12"/>
        <v>103.03030303030303</v>
      </c>
      <c r="I57" s="17">
        <f t="shared" si="12"/>
        <v>113.4453781512605</v>
      </c>
    </row>
    <row r="58" spans="1:9" x14ac:dyDescent="0.3">
      <c r="A58" s="49" t="s">
        <v>23</v>
      </c>
      <c r="B58" s="18" t="s">
        <v>51</v>
      </c>
      <c r="C58" s="51">
        <f>+'[1]analitika troškova'!E170</f>
        <v>508372</v>
      </c>
      <c r="D58" s="51">
        <f>+'[1]analitika troškova'!F170</f>
        <v>520000</v>
      </c>
      <c r="E58" s="51">
        <f>+'[1]analitika troškova'!G170</f>
        <v>520000</v>
      </c>
      <c r="F58" s="51">
        <f>+'[1]analitika troškova'!H170</f>
        <v>530000</v>
      </c>
      <c r="G58" s="17">
        <f t="shared" si="11"/>
        <v>102.28730142494081</v>
      </c>
      <c r="H58" s="17">
        <f t="shared" si="12"/>
        <v>100</v>
      </c>
      <c r="I58" s="17">
        <f t="shared" si="12"/>
        <v>101.92307692307692</v>
      </c>
    </row>
    <row r="59" spans="1:9" x14ac:dyDescent="0.3">
      <c r="A59" s="49" t="s">
        <v>29</v>
      </c>
      <c r="B59" s="18" t="s">
        <v>52</v>
      </c>
      <c r="C59" s="50">
        <f>+'[1]analitika troškova'!E171</f>
        <v>543723</v>
      </c>
      <c r="D59" s="50">
        <f>+'[1]analitika troškova'!F171</f>
        <v>657000</v>
      </c>
      <c r="E59" s="50">
        <f>+'[1]analitika troškova'!G171</f>
        <v>622000</v>
      </c>
      <c r="F59" s="50">
        <f>+'[1]analitika troškova'!H171</f>
        <v>734000</v>
      </c>
      <c r="G59" s="17">
        <f t="shared" si="11"/>
        <v>114.39648497488611</v>
      </c>
      <c r="H59" s="17">
        <f t="shared" si="12"/>
        <v>94.672754946727551</v>
      </c>
      <c r="I59" s="17">
        <f t="shared" si="12"/>
        <v>118.0064308681672</v>
      </c>
    </row>
    <row r="60" spans="1:9" x14ac:dyDescent="0.3">
      <c r="A60" s="49" t="s">
        <v>53</v>
      </c>
      <c r="B60" s="18" t="s">
        <v>54</v>
      </c>
      <c r="C60" s="51">
        <f>+'[1]analitika troškova'!E194</f>
        <v>2655</v>
      </c>
      <c r="D60" s="51">
        <f>+'[1]analitika troškova'!F194</f>
        <v>4100</v>
      </c>
      <c r="E60" s="51">
        <f>+'[1]analitika troškova'!G194</f>
        <v>4100</v>
      </c>
      <c r="F60" s="51">
        <f>+'[1]analitika troškova'!H194</f>
        <v>4000</v>
      </c>
      <c r="G60" s="17">
        <f t="shared" si="11"/>
        <v>154.42561205273068</v>
      </c>
      <c r="H60" s="17">
        <f t="shared" si="12"/>
        <v>100</v>
      </c>
      <c r="I60" s="17">
        <f t="shared" si="12"/>
        <v>97.560975609756099</v>
      </c>
    </row>
    <row r="61" spans="1:9" x14ac:dyDescent="0.3">
      <c r="A61" s="49" t="s">
        <v>55</v>
      </c>
      <c r="B61" s="15" t="s">
        <v>56</v>
      </c>
      <c r="C61" s="51">
        <f>+'[1]analitika troškova'!E195</f>
        <v>136810</v>
      </c>
      <c r="D61" s="51">
        <f>+'[1]analitika troškova'!F195</f>
        <v>108200</v>
      </c>
      <c r="E61" s="51">
        <f>+'[1]analitika troškova'!G195</f>
        <v>90900</v>
      </c>
      <c r="F61" s="51">
        <f>+'[1]analitika troškova'!H195</f>
        <v>0</v>
      </c>
      <c r="G61" s="17">
        <f>+E61/C61*100</f>
        <v>66.442511512316344</v>
      </c>
      <c r="H61" s="17">
        <f t="shared" si="12"/>
        <v>84.011090573012936</v>
      </c>
      <c r="I61" s="17">
        <f t="shared" si="12"/>
        <v>0</v>
      </c>
    </row>
    <row r="62" spans="1:9" x14ac:dyDescent="0.3">
      <c r="A62" s="49" t="s">
        <v>57</v>
      </c>
      <c r="B62" s="18" t="s">
        <v>58</v>
      </c>
      <c r="C62" s="51">
        <f>+'[1]analitika troškova'!E172+'[1]analitika troškova'!E175+'[1]analitika troškova'!E182+'[1]analitika troškova'!E184+'[1]analitika troškova'!E185+'[1]analitika troškova'!E186</f>
        <v>404258</v>
      </c>
      <c r="D62" s="51">
        <f>+'[1]analitika troškova'!F172+'[1]analitika troškova'!F175+'[1]analitika troškova'!F182+'[1]analitika troškova'!F184+'[1]analitika troškova'!F185+'[1]analitika troškova'!F186</f>
        <v>544700</v>
      </c>
      <c r="E62" s="51">
        <f>+'[1]analitika troškova'!G172+'[1]analitika troškova'!G175+'[1]analitika troškova'!G182+'[1]analitika troškova'!G184+'[1]analitika troškova'!G185+'[1]analitika troškova'!G186</f>
        <v>527000</v>
      </c>
      <c r="F62" s="51">
        <f>+'[1]analitika troškova'!H172+'[1]analitika troškova'!H175+'[1]analitika troškova'!H182+'[1]analitika troškova'!H184+'[1]analitika troškova'!H185+'[1]analitika troškova'!H186</f>
        <v>730000</v>
      </c>
      <c r="G62" s="17">
        <f>+E62/C62*100</f>
        <v>130.36229338689648</v>
      </c>
      <c r="H62" s="17">
        <f t="shared" si="12"/>
        <v>96.750504865063334</v>
      </c>
      <c r="I62" s="17">
        <f t="shared" si="12"/>
        <v>138.51992409867174</v>
      </c>
    </row>
    <row r="63" spans="1:9" x14ac:dyDescent="0.3">
      <c r="A63" s="49">
        <v>6</v>
      </c>
      <c r="B63" s="18" t="s">
        <v>59</v>
      </c>
      <c r="C63" s="50">
        <f>+'[1]analitika troškova'!E198</f>
        <v>36361</v>
      </c>
      <c r="D63" s="50">
        <f>+'[1]analitika troškova'!F198</f>
        <v>44000</v>
      </c>
      <c r="E63" s="50">
        <f>+'[1]analitika troškova'!G198</f>
        <v>53000</v>
      </c>
      <c r="F63" s="50">
        <f>+'[1]analitika troškova'!H198</f>
        <v>44000</v>
      </c>
      <c r="G63" s="17">
        <f t="shared" si="11"/>
        <v>145.76056764115398</v>
      </c>
      <c r="H63" s="17">
        <f t="shared" si="12"/>
        <v>120.45454545454545</v>
      </c>
      <c r="I63" s="17">
        <f t="shared" si="12"/>
        <v>83.018867924528308</v>
      </c>
    </row>
    <row r="64" spans="1:9" x14ac:dyDescent="0.3">
      <c r="A64" s="49" t="s">
        <v>45</v>
      </c>
      <c r="B64" s="18" t="s">
        <v>60</v>
      </c>
      <c r="C64" s="50">
        <f>+'[1]analitika troškova'!E220</f>
        <v>43959</v>
      </c>
      <c r="D64" s="50">
        <f>+'[1]analitika troškova'!F220</f>
        <v>20000</v>
      </c>
      <c r="E64" s="50">
        <f>+'[1]analitika troškova'!G220</f>
        <v>20000</v>
      </c>
      <c r="F64" s="50">
        <f>+'[1]analitika troškova'!H220</f>
        <v>20000</v>
      </c>
      <c r="G64" s="17">
        <f t="shared" si="11"/>
        <v>45.496940330762762</v>
      </c>
      <c r="H64" s="17">
        <f t="shared" si="12"/>
        <v>100</v>
      </c>
      <c r="I64" s="17">
        <f t="shared" si="12"/>
        <v>100</v>
      </c>
    </row>
    <row r="65" spans="1:9" x14ac:dyDescent="0.3">
      <c r="A65" s="49" t="s">
        <v>47</v>
      </c>
      <c r="B65" s="18" t="s">
        <v>61</v>
      </c>
      <c r="C65" s="50">
        <f>+'[1]analitika troškova'!E224</f>
        <v>98487</v>
      </c>
      <c r="D65" s="50">
        <f>+'[1]analitika troškova'!F224</f>
        <v>25000</v>
      </c>
      <c r="E65" s="50">
        <f>+'[1]analitika troškova'!G224</f>
        <v>88000</v>
      </c>
      <c r="F65" s="50">
        <f>+'[1]analitika troškova'!H224</f>
        <v>25000</v>
      </c>
      <c r="G65" s="17">
        <f t="shared" si="11"/>
        <v>89.351894158619913</v>
      </c>
      <c r="H65" s="17">
        <f t="shared" si="12"/>
        <v>352</v>
      </c>
      <c r="I65" s="17">
        <f t="shared" si="12"/>
        <v>28.40909090909091</v>
      </c>
    </row>
    <row r="66" spans="1:9" x14ac:dyDescent="0.3">
      <c r="A66" s="49" t="s">
        <v>62</v>
      </c>
      <c r="B66" s="18" t="s">
        <v>63</v>
      </c>
      <c r="C66" s="50">
        <f>+'[1]analitika troškova'!E231</f>
        <v>478660</v>
      </c>
      <c r="D66" s="50">
        <f>+'[1]analitika troškova'!F231</f>
        <v>46000</v>
      </c>
      <c r="E66" s="50">
        <f>+'[1]analitika troškova'!G231</f>
        <v>46000</v>
      </c>
      <c r="F66" s="50">
        <f>+'[1]analitika troškova'!H231</f>
        <v>36000</v>
      </c>
      <c r="G66" s="17">
        <f t="shared" si="11"/>
        <v>9.6101617014164553</v>
      </c>
      <c r="H66" s="17">
        <f t="shared" si="12"/>
        <v>100</v>
      </c>
      <c r="I66" s="17">
        <f t="shared" si="12"/>
        <v>78.260869565217391</v>
      </c>
    </row>
    <row r="67" spans="1:9" x14ac:dyDescent="0.3">
      <c r="A67" s="49" t="s">
        <v>64</v>
      </c>
      <c r="B67" s="18" t="s">
        <v>65</v>
      </c>
      <c r="C67" s="50">
        <f>C55+C56+C57+C58+C59+C63+C64+C65+C66</f>
        <v>11907114</v>
      </c>
      <c r="D67" s="50">
        <f>D55+D56+D57+D58+D59+D63+D64+D65+D66</f>
        <v>10200000</v>
      </c>
      <c r="E67" s="50">
        <f>E55+E56+E57+E58+E59+E63+E64+E65+E66</f>
        <v>10426000</v>
      </c>
      <c r="F67" s="50">
        <f>F55+F56+F57+F58+F59+F63+F64+F65+F66</f>
        <v>10790000</v>
      </c>
      <c r="G67" s="17">
        <f t="shared" si="11"/>
        <v>87.561100028100853</v>
      </c>
      <c r="H67" s="17">
        <f t="shared" si="12"/>
        <v>102.21568627450981</v>
      </c>
      <c r="I67" s="17">
        <f t="shared" si="12"/>
        <v>103.49127182044889</v>
      </c>
    </row>
    <row r="68" spans="1:9" x14ac:dyDescent="0.3">
      <c r="A68" s="52" t="s">
        <v>66</v>
      </c>
      <c r="B68" s="53" t="s">
        <v>67</v>
      </c>
      <c r="C68" s="54">
        <f>+'[1]analitika troškova'!E241</f>
        <v>1174798.01</v>
      </c>
      <c r="D68" s="54">
        <f>+'[1]analitika troškova'!F241</f>
        <v>347000</v>
      </c>
      <c r="E68" s="54">
        <f>+'[1]analitika troškova'!G241</f>
        <v>343000</v>
      </c>
      <c r="F68" s="54">
        <f>+'[1]analitika troškova'!H241</f>
        <v>92000</v>
      </c>
      <c r="G68" s="55">
        <f t="shared" si="11"/>
        <v>29.196508427861566</v>
      </c>
      <c r="H68" s="55">
        <f t="shared" si="12"/>
        <v>98.847262247838614</v>
      </c>
      <c r="I68" s="55">
        <f t="shared" si="12"/>
        <v>26.822157434402332</v>
      </c>
    </row>
    <row r="69" spans="1:9" x14ac:dyDescent="0.3">
      <c r="A69" s="56" t="s">
        <v>68</v>
      </c>
      <c r="B69" s="57" t="s">
        <v>69</v>
      </c>
      <c r="C69" s="58">
        <f t="shared" ref="C69:F69" si="13">+C67+C68</f>
        <v>13081912.01</v>
      </c>
      <c r="D69" s="58">
        <f t="shared" si="13"/>
        <v>10547000</v>
      </c>
      <c r="E69" s="58">
        <f t="shared" si="13"/>
        <v>10769000</v>
      </c>
      <c r="F69" s="58">
        <f t="shared" si="13"/>
        <v>10882000</v>
      </c>
      <c r="G69" s="59">
        <f t="shared" si="11"/>
        <v>82.31977093079378</v>
      </c>
      <c r="H69" s="59">
        <f t="shared" si="12"/>
        <v>102.10486394235328</v>
      </c>
      <c r="I69" s="59">
        <f t="shared" si="12"/>
        <v>101.04930819946141</v>
      </c>
    </row>
    <row r="70" spans="1:9" x14ac:dyDescent="0.3">
      <c r="A70" s="60"/>
      <c r="B70" s="61"/>
      <c r="C70" s="62"/>
      <c r="D70" s="62"/>
      <c r="E70" s="62"/>
      <c r="F70" s="62"/>
      <c r="G70" s="63"/>
      <c r="H70" s="63"/>
      <c r="I70" s="63"/>
    </row>
  </sheetData>
  <mergeCells count="31">
    <mergeCell ref="F4:F5"/>
    <mergeCell ref="G4:I4"/>
    <mergeCell ref="A42:A43"/>
    <mergeCell ref="B42:B43"/>
    <mergeCell ref="C42:C43"/>
    <mergeCell ref="D42:E42"/>
    <mergeCell ref="F42:F43"/>
    <mergeCell ref="G42:I42"/>
    <mergeCell ref="F27:F28"/>
    <mergeCell ref="G27:I27"/>
    <mergeCell ref="A16:A17"/>
    <mergeCell ref="B16:B17"/>
    <mergeCell ref="C16:C17"/>
    <mergeCell ref="D16:E16"/>
    <mergeCell ref="F16:F17"/>
    <mergeCell ref="G16:I16"/>
    <mergeCell ref="F52:F53"/>
    <mergeCell ref="G52:I52"/>
    <mergeCell ref="A1:B1"/>
    <mergeCell ref="A52:A53"/>
    <mergeCell ref="B52:B53"/>
    <mergeCell ref="C52:C53"/>
    <mergeCell ref="D52:E52"/>
    <mergeCell ref="A27:A28"/>
    <mergeCell ref="B27:B28"/>
    <mergeCell ref="C27:C28"/>
    <mergeCell ref="D27:E27"/>
    <mergeCell ref="A4:A5"/>
    <mergeCell ref="B4:B5"/>
    <mergeCell ref="C4:C5"/>
    <mergeCell ref="D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ignoredErrors>
    <ignoredError sqref="C22:E22 F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5B03A-B997-40BD-BE71-DF8B4E46C20D}">
  <dimension ref="A1:L18"/>
  <sheetViews>
    <sheetView workbookViewId="0">
      <selection activeCell="A2" sqref="A2"/>
    </sheetView>
  </sheetViews>
  <sheetFormatPr defaultRowHeight="15" x14ac:dyDescent="0.25"/>
  <cols>
    <col min="1" max="1" width="26.7109375" bestFit="1" customWidth="1"/>
  </cols>
  <sheetData>
    <row r="1" spans="1:12" ht="16.5" x14ac:dyDescent="0.3">
      <c r="A1" s="23" t="s">
        <v>514</v>
      </c>
    </row>
    <row r="3" spans="1:12" ht="16.5" x14ac:dyDescent="0.25">
      <c r="A3" s="643" t="s">
        <v>510</v>
      </c>
    </row>
    <row r="4" spans="1:12" x14ac:dyDescent="0.25">
      <c r="A4" s="587" t="s">
        <v>474</v>
      </c>
      <c r="B4" s="588" t="s">
        <v>475</v>
      </c>
      <c r="C4" s="589"/>
      <c r="D4" s="590" t="s">
        <v>70</v>
      </c>
      <c r="E4" s="590"/>
      <c r="F4" s="590"/>
      <c r="G4" s="590"/>
      <c r="H4" s="588" t="s">
        <v>476</v>
      </c>
      <c r="I4" s="589"/>
      <c r="J4" s="591" t="s">
        <v>71</v>
      </c>
      <c r="K4" s="592"/>
      <c r="L4" s="593"/>
    </row>
    <row r="5" spans="1:12" x14ac:dyDescent="0.25">
      <c r="A5" s="594"/>
      <c r="B5" s="595"/>
      <c r="C5" s="596"/>
      <c r="D5" s="597" t="s">
        <v>477</v>
      </c>
      <c r="E5" s="598"/>
      <c r="F5" s="599" t="s">
        <v>8</v>
      </c>
      <c r="G5" s="598"/>
      <c r="H5" s="595"/>
      <c r="I5" s="596"/>
      <c r="J5" s="600"/>
      <c r="K5" s="601"/>
      <c r="L5" s="602"/>
    </row>
    <row r="6" spans="1:12" x14ac:dyDescent="0.25">
      <c r="A6" s="603"/>
      <c r="B6" s="604" t="s">
        <v>72</v>
      </c>
      <c r="C6" s="605" t="s">
        <v>73</v>
      </c>
      <c r="D6" s="604" t="s">
        <v>72</v>
      </c>
      <c r="E6" s="605" t="s">
        <v>73</v>
      </c>
      <c r="F6" s="604" t="s">
        <v>72</v>
      </c>
      <c r="G6" s="605" t="s">
        <v>73</v>
      </c>
      <c r="H6" s="604" t="s">
        <v>72</v>
      </c>
      <c r="I6" s="605" t="s">
        <v>73</v>
      </c>
      <c r="J6" s="606" t="s">
        <v>74</v>
      </c>
      <c r="K6" s="606" t="s">
        <v>75</v>
      </c>
      <c r="L6" s="607" t="s">
        <v>76</v>
      </c>
    </row>
    <row r="7" spans="1:12" x14ac:dyDescent="0.25">
      <c r="A7" s="608">
        <v>1</v>
      </c>
      <c r="B7" s="609">
        <v>2</v>
      </c>
      <c r="C7" s="610">
        <v>3</v>
      </c>
      <c r="D7" s="611">
        <v>4</v>
      </c>
      <c r="E7" s="610">
        <v>5</v>
      </c>
      <c r="F7" s="611">
        <v>6</v>
      </c>
      <c r="G7" s="610">
        <v>7</v>
      </c>
      <c r="H7" s="611">
        <v>8</v>
      </c>
      <c r="I7" s="610">
        <v>9</v>
      </c>
      <c r="J7" s="612">
        <v>10</v>
      </c>
      <c r="K7" s="613">
        <v>11</v>
      </c>
      <c r="L7" s="613">
        <v>12</v>
      </c>
    </row>
    <row r="8" spans="1:12" ht="16.5" x14ac:dyDescent="0.25">
      <c r="A8" s="614" t="s">
        <v>478</v>
      </c>
      <c r="B8" s="615">
        <f>+'[2]prihodi aktivn sve usooredba'!B6</f>
        <v>7161</v>
      </c>
      <c r="C8" s="615">
        <f>+'[2]prihodi aktivn sve usooredba'!C6</f>
        <v>383086</v>
      </c>
      <c r="D8" s="616">
        <f>+'[2]prihodi aktivn sve usooredba'!D6</f>
        <v>7220</v>
      </c>
      <c r="E8" s="616">
        <f>+'[2]prihodi aktivn sve usooredba'!E6</f>
        <v>394498</v>
      </c>
      <c r="F8" s="617">
        <f>+'[2]prihodi aktivn sve usooredba'!F6</f>
        <v>7220</v>
      </c>
      <c r="G8" s="616">
        <f>+'[2]prihodi aktivn sve usooredba'!G6</f>
        <v>394498</v>
      </c>
      <c r="H8" s="618">
        <f>+'[2]prihodi aktivn sve usooredba'!H6</f>
        <v>7220</v>
      </c>
      <c r="I8" s="619">
        <f>+'[2]prihodi aktivn sve usooredba'!I6</f>
        <v>415000</v>
      </c>
      <c r="J8" s="620">
        <f t="shared" ref="J8:J9" si="0">+G8/C8*100</f>
        <v>102.9789655586474</v>
      </c>
      <c r="K8" s="620">
        <f t="shared" ref="K8:K9" si="1">+G8/E8*100</f>
        <v>100</v>
      </c>
      <c r="L8" s="621">
        <f>I8/G8*100</f>
        <v>105.19698452210152</v>
      </c>
    </row>
    <row r="9" spans="1:12" ht="16.5" x14ac:dyDescent="0.25">
      <c r="A9" s="622" t="s">
        <v>479</v>
      </c>
      <c r="B9" s="623">
        <f>+'[2]prihodi aktivn sve usooredba'!B7</f>
        <v>341</v>
      </c>
      <c r="C9" s="623">
        <f>+'[2]prihodi aktivn sve usooredba'!C7</f>
        <v>33689</v>
      </c>
      <c r="D9" s="624">
        <f>+'[2]prihodi aktivn sve usooredba'!D7</f>
        <v>455</v>
      </c>
      <c r="E9" s="624">
        <f>+'[2]prihodi aktivn sve usooredba'!E7</f>
        <v>37224</v>
      </c>
      <c r="F9" s="625">
        <f>+'[2]prihodi aktivn sve usooredba'!F7</f>
        <v>455</v>
      </c>
      <c r="G9" s="624">
        <f>+'[2]prihodi aktivn sve usooredba'!G7</f>
        <v>37224</v>
      </c>
      <c r="H9" s="626">
        <f>+'[2]prihodi aktivn sve usooredba'!H7</f>
        <v>675</v>
      </c>
      <c r="I9" s="627">
        <f>+'[2]prihodi aktivn sve usooredba'!I7</f>
        <v>41000</v>
      </c>
      <c r="J9" s="628">
        <f t="shared" si="0"/>
        <v>110.49303927097867</v>
      </c>
      <c r="K9" s="628">
        <f t="shared" si="1"/>
        <v>100</v>
      </c>
      <c r="L9" s="629">
        <f t="shared" ref="L9" si="2">I9/G9*100</f>
        <v>110.14399312271652</v>
      </c>
    </row>
    <row r="10" spans="1:12" ht="16.5" x14ac:dyDescent="0.25">
      <c r="A10" s="622" t="s">
        <v>480</v>
      </c>
      <c r="B10" s="623">
        <f>+'[2]prihodi aktivn sve usooredba'!B8</f>
        <v>1113</v>
      </c>
      <c r="C10" s="623">
        <f>+'[2]prihodi aktivn sve usooredba'!C8</f>
        <v>90174</v>
      </c>
      <c r="D10" s="624">
        <f>+'[2]prihodi aktivn sve usooredba'!D8</f>
        <v>1092</v>
      </c>
      <c r="E10" s="624">
        <f>+'[2]prihodi aktivn sve usooredba'!E8</f>
        <v>115076</v>
      </c>
      <c r="F10" s="625">
        <f>+'[2]prihodi aktivn sve usooredba'!F8</f>
        <v>1092</v>
      </c>
      <c r="G10" s="624">
        <f>+'[2]prihodi aktivn sve usooredba'!G8</f>
        <v>115076</v>
      </c>
      <c r="H10" s="626">
        <f>+'[2]prihodi aktivn sve usooredba'!H8</f>
        <v>1300</v>
      </c>
      <c r="I10" s="627">
        <f>+'[2]prihodi aktivn sve usooredba'!I8</f>
        <v>132000</v>
      </c>
      <c r="J10" s="628">
        <f>+G10/C10*100</f>
        <v>127.6154989243019</v>
      </c>
      <c r="K10" s="628">
        <f>+G10/E10*100</f>
        <v>100</v>
      </c>
      <c r="L10" s="629">
        <f>I10/G10*100</f>
        <v>114.7068024609823</v>
      </c>
    </row>
    <row r="11" spans="1:12" ht="16.5" x14ac:dyDescent="0.25">
      <c r="A11" s="630" t="s">
        <v>481</v>
      </c>
      <c r="B11" s="631">
        <v>0</v>
      </c>
      <c r="C11" s="632">
        <v>0</v>
      </c>
      <c r="D11" s="624">
        <f>+'[2]prihodi aktivn sve usooredba'!D9</f>
        <v>4998</v>
      </c>
      <c r="E11" s="624">
        <f>+'[2]prihodi aktivn sve usooredba'!E9</f>
        <v>337768</v>
      </c>
      <c r="F11" s="625">
        <f>+'[2]prihodi aktivn sve usooredba'!F9</f>
        <v>4998</v>
      </c>
      <c r="G11" s="624">
        <f>+'[2]prihodi aktivn sve usooredba'!G9</f>
        <v>337768</v>
      </c>
      <c r="H11" s="631">
        <v>0</v>
      </c>
      <c r="I11" s="632">
        <v>0</v>
      </c>
      <c r="J11" s="628">
        <f>+H11</f>
        <v>0</v>
      </c>
      <c r="K11" s="628">
        <f t="shared" ref="K11:K17" si="3">+G11/E11*100</f>
        <v>100</v>
      </c>
      <c r="L11" s="629">
        <f>+J11</f>
        <v>0</v>
      </c>
    </row>
    <row r="12" spans="1:12" ht="16.5" x14ac:dyDescent="0.25">
      <c r="A12" s="630" t="s">
        <v>482</v>
      </c>
      <c r="B12" s="631">
        <v>0</v>
      </c>
      <c r="C12" s="632">
        <v>0</v>
      </c>
      <c r="D12" s="624">
        <f>+'[2]prihodi aktivn sve usooredba'!D10</f>
        <v>2051</v>
      </c>
      <c r="E12" s="624">
        <f>+'[2]prihodi aktivn sve usooredba'!E10</f>
        <v>170434</v>
      </c>
      <c r="F12" s="625">
        <f>+'[2]prihodi aktivn sve usooredba'!F10</f>
        <v>2051</v>
      </c>
      <c r="G12" s="624">
        <f>+'[2]prihodi aktivn sve usooredba'!G10</f>
        <v>170616</v>
      </c>
      <c r="H12" s="631">
        <v>0</v>
      </c>
      <c r="I12" s="632">
        <v>0</v>
      </c>
      <c r="J12" s="628">
        <f>+H12</f>
        <v>0</v>
      </c>
      <c r="K12" s="628">
        <f t="shared" si="3"/>
        <v>100.10678620463054</v>
      </c>
      <c r="L12" s="629">
        <f>+H12</f>
        <v>0</v>
      </c>
    </row>
    <row r="13" spans="1:12" ht="16.5" x14ac:dyDescent="0.25">
      <c r="A13" s="622" t="s">
        <v>483</v>
      </c>
      <c r="B13" s="623">
        <f>+'[2]prihodi aktivn sve usooredba'!B11</f>
        <v>2340</v>
      </c>
      <c r="C13" s="623">
        <f>+'[2]prihodi aktivn sve usooredba'!C11</f>
        <v>300383</v>
      </c>
      <c r="D13" s="624">
        <f>+'[2]prihodi aktivn sve usooredba'!D11</f>
        <v>2500</v>
      </c>
      <c r="E13" s="624">
        <f>+'[2]prihodi aktivn sve usooredba'!E11</f>
        <v>230000</v>
      </c>
      <c r="F13" s="625">
        <f>+'[2]prihodi aktivn sve usooredba'!F11</f>
        <v>2639</v>
      </c>
      <c r="G13" s="624">
        <f>+'[2]prihodi aktivn sve usooredba'!G11</f>
        <v>281000</v>
      </c>
      <c r="H13" s="626">
        <f>+'[2]prihodi aktivn sve usooredba'!H11+600</f>
        <v>3100</v>
      </c>
      <c r="I13" s="627">
        <f>+'[2]prihodi aktivn sve usooredba'!I11+61000</f>
        <v>341000</v>
      </c>
      <c r="J13" s="628">
        <f t="shared" ref="J13:J15" si="4">+G13/C13*100</f>
        <v>93.547238026119985</v>
      </c>
      <c r="K13" s="628">
        <f t="shared" si="3"/>
        <v>122.17391304347827</v>
      </c>
      <c r="L13" s="629">
        <f t="shared" ref="L13:L17" si="5">I13/G13*100</f>
        <v>121.35231316725978</v>
      </c>
    </row>
    <row r="14" spans="1:12" ht="16.5" x14ac:dyDescent="0.25">
      <c r="A14" s="622" t="s">
        <v>484</v>
      </c>
      <c r="B14" s="623">
        <f>+'[2]prihodi aktivn sve usooredba'!B12</f>
        <v>575</v>
      </c>
      <c r="C14" s="623">
        <f>+'[2]prihodi aktivn sve usooredba'!C12</f>
        <v>59813</v>
      </c>
      <c r="D14" s="631">
        <v>0</v>
      </c>
      <c r="E14" s="632">
        <v>0</v>
      </c>
      <c r="F14" s="631">
        <v>0</v>
      </c>
      <c r="G14" s="632">
        <v>0</v>
      </c>
      <c r="H14" s="626">
        <v>0</v>
      </c>
      <c r="I14" s="627">
        <v>0</v>
      </c>
      <c r="J14" s="628">
        <v>0</v>
      </c>
      <c r="K14" s="633">
        <v>0</v>
      </c>
      <c r="L14" s="629">
        <v>0</v>
      </c>
    </row>
    <row r="15" spans="1:12" ht="16.5" x14ac:dyDescent="0.25">
      <c r="A15" s="622" t="s">
        <v>485</v>
      </c>
      <c r="B15" s="623">
        <f>+'[2]prihodi aktivn sve usooredba'!B13</f>
        <v>7373</v>
      </c>
      <c r="C15" s="623">
        <f>+'[2]prihodi aktivn sve usooredba'!C13</f>
        <v>512352</v>
      </c>
      <c r="D15" s="624">
        <f>+'[2]prihodi aktivn sve usooredba'!D13</f>
        <v>7373</v>
      </c>
      <c r="E15" s="624">
        <f>+'[2]prihodi aktivn sve usooredba'!E13</f>
        <v>550000</v>
      </c>
      <c r="F15" s="625">
        <f>+'[2]prihodi aktivn sve usooredba'!F13</f>
        <v>7582</v>
      </c>
      <c r="G15" s="624">
        <f>+'[2]prihodi aktivn sve usooredba'!G13</f>
        <v>607818</v>
      </c>
      <c r="H15" s="626">
        <f>+'[2]prihodi aktivn sve usooredba'!H13</f>
        <v>7700</v>
      </c>
      <c r="I15" s="627">
        <f>+'[2]prihodi aktivn sve usooredba'!I13</f>
        <v>600000</v>
      </c>
      <c r="J15" s="628">
        <f t="shared" si="4"/>
        <v>118.6328930110549</v>
      </c>
      <c r="K15" s="628">
        <f t="shared" si="3"/>
        <v>110.51236363636363</v>
      </c>
      <c r="L15" s="629">
        <f t="shared" si="5"/>
        <v>98.713759710966116</v>
      </c>
    </row>
    <row r="16" spans="1:12" ht="16.5" x14ac:dyDescent="0.25">
      <c r="A16" s="622" t="s">
        <v>486</v>
      </c>
      <c r="B16" s="634">
        <v>4476</v>
      </c>
      <c r="C16" s="635">
        <v>155000</v>
      </c>
      <c r="D16" s="624">
        <f>+'[2]prihodi aktivn sve usooredba'!D14</f>
        <v>2500</v>
      </c>
      <c r="E16" s="624">
        <f>+'[2]prihodi aktivn sve usooredba'!E14</f>
        <v>100000</v>
      </c>
      <c r="F16" s="625">
        <f>+'[2]prihodi aktivn sve usooredba'!F14</f>
        <v>3300</v>
      </c>
      <c r="G16" s="624">
        <f>+'[2]prihodi aktivn sve usooredba'!G14</f>
        <v>130000</v>
      </c>
      <c r="H16" s="626">
        <f>+'[2]prihodi aktivn sve usooredba'!H14</f>
        <v>3000</v>
      </c>
      <c r="I16" s="627">
        <f>+'[2]prihodi aktivn sve usooredba'!I14</f>
        <v>160000</v>
      </c>
      <c r="J16" s="628"/>
      <c r="K16" s="628">
        <f t="shared" si="3"/>
        <v>130</v>
      </c>
      <c r="L16" s="629">
        <f t="shared" si="5"/>
        <v>123.07692307692308</v>
      </c>
    </row>
    <row r="17" spans="1:12" ht="16.5" x14ac:dyDescent="0.25">
      <c r="A17" s="622" t="s">
        <v>487</v>
      </c>
      <c r="B17" s="634"/>
      <c r="C17" s="635">
        <f>+M16-C16</f>
        <v>-155000</v>
      </c>
      <c r="D17" s="624">
        <f>+'[2]prihodi aktivn sve usooredba'!D15</f>
        <v>1000</v>
      </c>
      <c r="E17" s="624">
        <f>+'[2]prihodi aktivn sve usooredba'!E15</f>
        <v>45000</v>
      </c>
      <c r="F17" s="625">
        <f>+'[2]prihodi aktivn sve usooredba'!F15</f>
        <v>1200</v>
      </c>
      <c r="G17" s="624">
        <f>+'[2]prihodi aktivn sve usooredba'!G15</f>
        <v>65000</v>
      </c>
      <c r="H17" s="626">
        <f>+'[2]prihodi aktivn sve usooredba'!H15</f>
        <v>1200</v>
      </c>
      <c r="I17" s="627">
        <f>+'[2]prihodi aktivn sve usooredba'!I15</f>
        <v>70000</v>
      </c>
      <c r="J17" s="628"/>
      <c r="K17" s="628">
        <f t="shared" si="3"/>
        <v>144.44444444444443</v>
      </c>
      <c r="L17" s="629">
        <f t="shared" si="5"/>
        <v>107.69230769230769</v>
      </c>
    </row>
    <row r="18" spans="1:12" ht="16.5" x14ac:dyDescent="0.25">
      <c r="A18" s="636" t="s">
        <v>488</v>
      </c>
      <c r="B18" s="637">
        <f t="shared" ref="B18:I18" si="6">SUM(B8:B17)</f>
        <v>23379</v>
      </c>
      <c r="C18" s="638">
        <f t="shared" si="6"/>
        <v>1379497</v>
      </c>
      <c r="D18" s="639">
        <f t="shared" si="6"/>
        <v>29189</v>
      </c>
      <c r="E18" s="639">
        <f t="shared" si="6"/>
        <v>1980000</v>
      </c>
      <c r="F18" s="640">
        <f t="shared" si="6"/>
        <v>30537</v>
      </c>
      <c r="G18" s="639">
        <f t="shared" si="6"/>
        <v>2139000</v>
      </c>
      <c r="H18" s="640">
        <f t="shared" si="6"/>
        <v>24195</v>
      </c>
      <c r="I18" s="639">
        <f t="shared" si="6"/>
        <v>1759000</v>
      </c>
      <c r="J18" s="641">
        <f>+G18/C18*100</f>
        <v>155.0565169768401</v>
      </c>
      <c r="K18" s="641">
        <f>+G18/E18*100</f>
        <v>108.03030303030303</v>
      </c>
      <c r="L18" s="642">
        <f>I18/G18*100</f>
        <v>82.234689107059381</v>
      </c>
    </row>
  </sheetData>
  <mergeCells count="8">
    <mergeCell ref="B16:B17"/>
    <mergeCell ref="A4:A6"/>
    <mergeCell ref="B4:C5"/>
    <mergeCell ref="D4:G4"/>
    <mergeCell ref="H4:I5"/>
    <mergeCell ref="J4:L5"/>
    <mergeCell ref="D5:E5"/>
    <mergeCell ref="F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8849F-17C0-4391-B92E-E8886ADFE12F}">
  <dimension ref="A1:I15"/>
  <sheetViews>
    <sheetView topLeftCell="B1" workbookViewId="0">
      <selection activeCell="B3" sqref="B3"/>
    </sheetView>
  </sheetViews>
  <sheetFormatPr defaultColWidth="8.85546875" defaultRowHeight="16.5" x14ac:dyDescent="0.3"/>
  <cols>
    <col min="1" max="1" width="5.7109375" style="663" hidden="1" customWidth="1"/>
    <col min="2" max="2" width="41.42578125" style="2" customWidth="1"/>
    <col min="3" max="6" width="11.140625" style="2" customWidth="1"/>
    <col min="7" max="9" width="7.7109375" style="2" customWidth="1"/>
    <col min="10" max="16384" width="8.85546875" style="2"/>
  </cols>
  <sheetData>
    <row r="1" spans="1:9" s="4" customFormat="1" x14ac:dyDescent="0.3">
      <c r="B1" s="4" t="s">
        <v>493</v>
      </c>
    </row>
    <row r="2" spans="1:9" s="4" customFormat="1" x14ac:dyDescent="0.3">
      <c r="A2" s="659"/>
      <c r="B2" s="659"/>
    </row>
    <row r="3" spans="1:9" s="4" customFormat="1" x14ac:dyDescent="0.3">
      <c r="A3" s="660"/>
      <c r="B3" s="2" t="s">
        <v>509</v>
      </c>
    </row>
    <row r="4" spans="1:9" s="4" customFormat="1" x14ac:dyDescent="0.3">
      <c r="A4" s="661" t="s">
        <v>0</v>
      </c>
      <c r="B4" s="580" t="s">
        <v>1</v>
      </c>
      <c r="C4" s="644" t="s">
        <v>489</v>
      </c>
      <c r="D4" s="582" t="s">
        <v>3</v>
      </c>
      <c r="E4" s="582"/>
      <c r="F4" s="581" t="s">
        <v>490</v>
      </c>
      <c r="G4" s="583" t="s">
        <v>5</v>
      </c>
      <c r="H4" s="583"/>
      <c r="I4" s="583"/>
    </row>
    <row r="5" spans="1:9" s="4" customFormat="1" ht="27" x14ac:dyDescent="0.3">
      <c r="A5" s="661"/>
      <c r="B5" s="580"/>
      <c r="C5" s="644"/>
      <c r="D5" s="3" t="s">
        <v>491</v>
      </c>
      <c r="E5" s="5" t="s">
        <v>8</v>
      </c>
      <c r="F5" s="581"/>
      <c r="G5" s="6" t="s">
        <v>9</v>
      </c>
      <c r="H5" s="6" t="s">
        <v>10</v>
      </c>
      <c r="I5" s="7" t="s">
        <v>11</v>
      </c>
    </row>
    <row r="6" spans="1:9" s="4" customFormat="1" x14ac:dyDescent="0.3">
      <c r="A6" s="645">
        <v>1</v>
      </c>
      <c r="B6" s="645">
        <v>2</v>
      </c>
      <c r="C6" s="645">
        <v>3</v>
      </c>
      <c r="D6" s="645">
        <v>4</v>
      </c>
      <c r="E6" s="645">
        <v>5</v>
      </c>
      <c r="F6" s="645">
        <v>6</v>
      </c>
      <c r="G6" s="645">
        <v>7</v>
      </c>
      <c r="H6" s="645">
        <v>8</v>
      </c>
      <c r="I6" s="645">
        <v>9</v>
      </c>
    </row>
    <row r="7" spans="1:9" x14ac:dyDescent="0.3">
      <c r="A7" s="10" t="s">
        <v>12</v>
      </c>
      <c r="B7" s="646" t="s">
        <v>39</v>
      </c>
      <c r="C7" s="647">
        <f>+'[2]prihodi aktivn sve usooredba'!C17</f>
        <v>576979</v>
      </c>
      <c r="D7" s="647">
        <f>+'[2]prihodi aktivn sve usooredba'!E17</f>
        <v>605000</v>
      </c>
      <c r="E7" s="647">
        <f>+'[2]prihodi aktivn sve usooredba'!G17</f>
        <v>712000</v>
      </c>
      <c r="F7" s="647">
        <f>+'[2]prihodi aktivn sve usooredba'!I17</f>
        <v>782000</v>
      </c>
      <c r="G7" s="648">
        <f t="shared" ref="G7:G13" si="0">+E7/C7*100</f>
        <v>123.40137162704362</v>
      </c>
      <c r="H7" s="648">
        <f t="shared" ref="H7:I13" si="1">+E7/D7*100</f>
        <v>117.68595041322314</v>
      </c>
      <c r="I7" s="648">
        <f t="shared" si="1"/>
        <v>109.8314606741573</v>
      </c>
    </row>
    <row r="8" spans="1:9" x14ac:dyDescent="0.3">
      <c r="A8" s="14" t="s">
        <v>17</v>
      </c>
      <c r="B8" s="649" t="s">
        <v>40</v>
      </c>
      <c r="C8" s="650">
        <f>+'[2]prihodi aktivn sve usooredba'!C18</f>
        <v>192579</v>
      </c>
      <c r="D8" s="650">
        <f>+'[2]prihodi aktivn sve usooredba'!E18</f>
        <v>85000</v>
      </c>
      <c r="E8" s="650">
        <f>+'[2]prihodi aktivn sve usooredba'!G18</f>
        <v>210000</v>
      </c>
      <c r="F8" s="650">
        <f>+'[2]prihodi aktivn sve usooredba'!I18</f>
        <v>252000</v>
      </c>
      <c r="G8" s="651">
        <f t="shared" si="0"/>
        <v>109.04615768074402</v>
      </c>
      <c r="H8" s="651">
        <f t="shared" si="1"/>
        <v>247.05882352941177</v>
      </c>
      <c r="I8" s="651">
        <f>+F8/E8*100</f>
        <v>120</v>
      </c>
    </row>
    <row r="9" spans="1:9" x14ac:dyDescent="0.3">
      <c r="A9" s="14" t="s">
        <v>21</v>
      </c>
      <c r="B9" s="649" t="s">
        <v>41</v>
      </c>
      <c r="C9" s="650">
        <f>+'[2]prihodi aktivn sve usooredba'!C19</f>
        <v>631080</v>
      </c>
      <c r="D9" s="650">
        <f>+'[2]prihodi aktivn sve usooredba'!E19</f>
        <v>635000</v>
      </c>
      <c r="E9" s="650">
        <f>+'[2]prihodi aktivn sve usooredba'!G19</f>
        <v>673000</v>
      </c>
      <c r="F9" s="650">
        <f>+'[2]prihodi aktivn sve usooredba'!I19</f>
        <v>653000</v>
      </c>
      <c r="G9" s="651">
        <f t="shared" si="0"/>
        <v>106.64258097230146</v>
      </c>
      <c r="H9" s="651">
        <f t="shared" si="1"/>
        <v>105.98425196850394</v>
      </c>
      <c r="I9" s="651">
        <f t="shared" si="1"/>
        <v>97.028231797919759</v>
      </c>
    </row>
    <row r="10" spans="1:9" x14ac:dyDescent="0.3">
      <c r="A10" s="14" t="s">
        <v>23</v>
      </c>
      <c r="B10" s="649" t="s">
        <v>42</v>
      </c>
      <c r="C10" s="650">
        <f>+'[2]prihodi aktivn sve usooredba'!C20</f>
        <v>445505</v>
      </c>
      <c r="D10" s="650">
        <f>+'[2]prihodi aktivn sve usooredba'!E20</f>
        <v>283000</v>
      </c>
      <c r="E10" s="650">
        <f>+'[2]prihodi aktivn sve usooredba'!G20</f>
        <v>310000</v>
      </c>
      <c r="F10" s="650">
        <f>+'[2]prihodi aktivn sve usooredba'!I20</f>
        <v>372000</v>
      </c>
      <c r="G10" s="651">
        <f t="shared" si="0"/>
        <v>69.583955286697119</v>
      </c>
      <c r="H10" s="651">
        <f t="shared" si="1"/>
        <v>109.54063604240282</v>
      </c>
      <c r="I10" s="651">
        <f t="shared" si="1"/>
        <v>120</v>
      </c>
    </row>
    <row r="11" spans="1:9" x14ac:dyDescent="0.3">
      <c r="A11" s="14" t="s">
        <v>29</v>
      </c>
      <c r="B11" s="649" t="s">
        <v>43</v>
      </c>
      <c r="C11" s="650">
        <f>+'[2]prihodi aktivn sve usooredba'!C21</f>
        <v>2616</v>
      </c>
      <c r="D11" s="650">
        <f>+'[2]prihodi aktivn sve usooredba'!E21</f>
        <v>0</v>
      </c>
      <c r="E11" s="650">
        <f>+'[2]prihodi aktivn sve usooredba'!G21</f>
        <v>0</v>
      </c>
      <c r="F11" s="650">
        <f>+'[2]prihodi aktivn sve usooredba'!I21</f>
        <v>0</v>
      </c>
      <c r="G11" s="652"/>
      <c r="H11" s="652"/>
      <c r="I11" s="652"/>
    </row>
    <row r="12" spans="1:9" x14ac:dyDescent="0.3">
      <c r="A12" s="14" t="s">
        <v>494</v>
      </c>
      <c r="B12" s="649" t="s">
        <v>44</v>
      </c>
      <c r="C12" s="650">
        <f>+'[2]prihodi aktivn sve usooredba'!C22</f>
        <v>6334</v>
      </c>
      <c r="D12" s="650">
        <f>+'[2]prihodi aktivn sve usooredba'!E22</f>
        <v>6000</v>
      </c>
      <c r="E12" s="650">
        <f>+'[2]prihodi aktivn sve usooredba'!G22</f>
        <v>6000</v>
      </c>
      <c r="F12" s="650">
        <f>+'[2]prihodi aktivn sve usooredba'!I22</f>
        <v>6000</v>
      </c>
      <c r="G12" s="651">
        <f t="shared" si="0"/>
        <v>94.726870855699403</v>
      </c>
      <c r="H12" s="651">
        <f t="shared" si="1"/>
        <v>100</v>
      </c>
      <c r="I12" s="651">
        <f t="shared" si="1"/>
        <v>100</v>
      </c>
    </row>
    <row r="13" spans="1:9" x14ac:dyDescent="0.3">
      <c r="A13" s="41" t="s">
        <v>45</v>
      </c>
      <c r="B13" s="653" t="s">
        <v>46</v>
      </c>
      <c r="C13" s="654">
        <f>+'[2]prihodi aktivn sve usooredba'!C23</f>
        <v>35087</v>
      </c>
      <c r="D13" s="654">
        <f>+'[2]prihodi aktivn sve usooredba'!E23</f>
        <v>37000</v>
      </c>
      <c r="E13" s="654">
        <f>+'[2]prihodi aktivn sve usooredba'!G23</f>
        <v>37000</v>
      </c>
      <c r="F13" s="654">
        <f>+'[2]prihodi aktivn sve usooredba'!I23</f>
        <v>40000</v>
      </c>
      <c r="G13" s="655">
        <f t="shared" si="0"/>
        <v>105.45216176931626</v>
      </c>
      <c r="H13" s="655">
        <f t="shared" si="1"/>
        <v>100</v>
      </c>
      <c r="I13" s="655">
        <f t="shared" si="1"/>
        <v>108.10810810810811</v>
      </c>
    </row>
    <row r="14" spans="1:9" s="4" customFormat="1" x14ac:dyDescent="0.3">
      <c r="A14" s="662"/>
      <c r="B14" s="656" t="s">
        <v>492</v>
      </c>
      <c r="C14" s="657">
        <f>SUM(C7:C13)</f>
        <v>1890180</v>
      </c>
      <c r="D14" s="657">
        <f>SUM(D7:D13)</f>
        <v>1651000</v>
      </c>
      <c r="E14" s="657">
        <f>SUM(E7:E13)</f>
        <v>1948000</v>
      </c>
      <c r="F14" s="657">
        <f>SUM(F7:F13)</f>
        <v>2105000</v>
      </c>
      <c r="G14" s="658">
        <f>+E14/C14*100</f>
        <v>103.05896792898031</v>
      </c>
      <c r="H14" s="658">
        <f>+E14/D14*100</f>
        <v>117.98909751665659</v>
      </c>
      <c r="I14" s="658">
        <f>+F14/E14*100</f>
        <v>108.05954825462013</v>
      </c>
    </row>
    <row r="15" spans="1:9" x14ac:dyDescent="0.3">
      <c r="C15" s="45"/>
      <c r="D15" s="45"/>
      <c r="E15" s="45"/>
      <c r="F15" s="45"/>
    </row>
  </sheetData>
  <mergeCells count="6">
    <mergeCell ref="A4:A5"/>
    <mergeCell ref="B4:B5"/>
    <mergeCell ref="C4:C5"/>
    <mergeCell ref="D4:E4"/>
    <mergeCell ref="F4:F5"/>
    <mergeCell ref="G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4079-D2F2-4409-9D59-4D5450C66892}">
  <dimension ref="A1:N14"/>
  <sheetViews>
    <sheetView workbookViewId="0">
      <selection activeCell="A8" sqref="A8"/>
    </sheetView>
  </sheetViews>
  <sheetFormatPr defaultColWidth="8.85546875" defaultRowHeight="16.5" x14ac:dyDescent="0.3"/>
  <cols>
    <col min="1" max="1" width="8.85546875" style="1"/>
    <col min="2" max="2" width="27.7109375" style="1" customWidth="1"/>
    <col min="3" max="3" width="8.85546875" style="1"/>
    <col min="4" max="4" width="8.85546875" style="1" bestFit="1"/>
    <col min="5" max="5" width="8.85546875" style="1"/>
    <col min="6" max="6" width="8.85546875" style="1" bestFit="1"/>
    <col min="7" max="7" width="8.85546875" style="1"/>
    <col min="8" max="8" width="8.85546875" style="1" bestFit="1"/>
    <col min="9" max="9" width="8.85546875" style="1"/>
    <col min="10" max="10" width="8.85546875" style="1" bestFit="1"/>
    <col min="11" max="12" width="7.7109375" style="1" customWidth="1"/>
    <col min="13" max="16384" width="8.85546875" style="1"/>
  </cols>
  <sheetData>
    <row r="1" spans="1:14" s="23" customFormat="1" x14ac:dyDescent="0.3">
      <c r="A1" s="23" t="s">
        <v>495</v>
      </c>
    </row>
    <row r="2" spans="1:14" s="23" customFormat="1" x14ac:dyDescent="0.3"/>
    <row r="3" spans="1:14" x14ac:dyDescent="0.3">
      <c r="A3" s="1" t="s">
        <v>508</v>
      </c>
    </row>
    <row r="4" spans="1:14" s="23" customFormat="1" x14ac:dyDescent="0.3">
      <c r="A4" s="664" t="s">
        <v>0</v>
      </c>
      <c r="B4" s="665" t="s">
        <v>77</v>
      </c>
      <c r="C4" s="666" t="s">
        <v>496</v>
      </c>
      <c r="D4" s="666"/>
      <c r="E4" s="667" t="s">
        <v>3</v>
      </c>
      <c r="F4" s="668"/>
      <c r="G4" s="668"/>
      <c r="H4" s="669"/>
      <c r="I4" s="670" t="s">
        <v>497</v>
      </c>
      <c r="J4" s="671"/>
      <c r="K4" s="672" t="s">
        <v>71</v>
      </c>
      <c r="L4" s="673"/>
      <c r="M4" s="674"/>
    </row>
    <row r="5" spans="1:14" s="23" customFormat="1" x14ac:dyDescent="0.3">
      <c r="A5" s="675"/>
      <c r="B5" s="676"/>
      <c r="C5" s="677"/>
      <c r="D5" s="677"/>
      <c r="E5" s="678" t="s">
        <v>498</v>
      </c>
      <c r="F5" s="679"/>
      <c r="G5" s="678" t="s">
        <v>8</v>
      </c>
      <c r="H5" s="679"/>
      <c r="I5" s="680"/>
      <c r="J5" s="681"/>
      <c r="K5" s="682"/>
      <c r="L5" s="683"/>
      <c r="M5" s="684"/>
    </row>
    <row r="6" spans="1:14" x14ac:dyDescent="0.3">
      <c r="A6" s="675"/>
      <c r="B6" s="676"/>
      <c r="C6" s="685" t="s">
        <v>72</v>
      </c>
      <c r="D6" s="685" t="s">
        <v>73</v>
      </c>
      <c r="E6" s="685" t="s">
        <v>72</v>
      </c>
      <c r="F6" s="685" t="s">
        <v>73</v>
      </c>
      <c r="G6" s="685" t="s">
        <v>72</v>
      </c>
      <c r="H6" s="685" t="s">
        <v>73</v>
      </c>
      <c r="I6" s="685" t="s">
        <v>72</v>
      </c>
      <c r="J6" s="685" t="s">
        <v>73</v>
      </c>
      <c r="K6" s="606" t="s">
        <v>499</v>
      </c>
      <c r="L6" s="606" t="s">
        <v>79</v>
      </c>
      <c r="M6" s="686" t="s">
        <v>500</v>
      </c>
    </row>
    <row r="7" spans="1:14" x14ac:dyDescent="0.3">
      <c r="A7" s="687">
        <v>1</v>
      </c>
      <c r="B7" s="688">
        <v>2</v>
      </c>
      <c r="C7" s="689">
        <v>3</v>
      </c>
      <c r="D7" s="689">
        <v>4</v>
      </c>
      <c r="E7" s="689">
        <v>5</v>
      </c>
      <c r="F7" s="689">
        <v>6</v>
      </c>
      <c r="G7" s="689">
        <v>7</v>
      </c>
      <c r="H7" s="689">
        <v>8</v>
      </c>
      <c r="I7" s="689">
        <v>9</v>
      </c>
      <c r="J7" s="690">
        <v>10</v>
      </c>
      <c r="K7" s="690">
        <v>11</v>
      </c>
      <c r="L7" s="691">
        <v>12</v>
      </c>
      <c r="M7" s="691">
        <v>13</v>
      </c>
    </row>
    <row r="8" spans="1:14" x14ac:dyDescent="0.3">
      <c r="A8" s="692" t="s">
        <v>12</v>
      </c>
      <c r="B8" s="693" t="s">
        <v>501</v>
      </c>
      <c r="C8" s="694">
        <f>+'[2]prihodi aktivn sve usooredba'!B25</f>
        <v>13712</v>
      </c>
      <c r="D8" s="694">
        <f>+'[2]prihodi aktivn sve usooredba'!C25</f>
        <v>1546915</v>
      </c>
      <c r="E8" s="694">
        <f>+'[2]prihodi aktivn sve usooredba'!D25</f>
        <v>14936</v>
      </c>
      <c r="F8" s="694">
        <f>+'[2]prihodi aktivn sve usooredba'!E25</f>
        <v>1728000</v>
      </c>
      <c r="G8" s="694">
        <f>+'[2]prihodi aktivn sve usooredba'!F25</f>
        <v>14936</v>
      </c>
      <c r="H8" s="694">
        <f>+'[2]prihodi aktivn sve usooredba'!G25</f>
        <v>1720000</v>
      </c>
      <c r="I8" s="694">
        <f>+'[2]prihodi aktivn sve usooredba'!H25</f>
        <v>14936</v>
      </c>
      <c r="J8" s="694">
        <f>+'[2]prihodi aktivn sve usooredba'!I25</f>
        <v>1850000</v>
      </c>
      <c r="K8" s="695">
        <f t="shared" ref="K8:K14" si="0">+H8/D8*100</f>
        <v>111.18904400047838</v>
      </c>
      <c r="L8" s="695">
        <f t="shared" ref="L8:L14" si="1">+H8/F8*100</f>
        <v>99.537037037037038</v>
      </c>
      <c r="M8" s="696">
        <f t="shared" ref="M8:M14" si="2">J8/H8*100</f>
        <v>107.55813953488371</v>
      </c>
      <c r="N8" s="697"/>
    </row>
    <row r="9" spans="1:14" x14ac:dyDescent="0.3">
      <c r="A9" s="698" t="s">
        <v>17</v>
      </c>
      <c r="B9" s="699" t="s">
        <v>502</v>
      </c>
      <c r="C9" s="700">
        <f>+'[2]prihodi aktivn sve usooredba'!B26</f>
        <v>19325</v>
      </c>
      <c r="D9" s="700">
        <f>+'[2]prihodi aktivn sve usooredba'!C26</f>
        <v>1062280</v>
      </c>
      <c r="E9" s="700">
        <f>+'[2]prihodi aktivn sve usooredba'!D26</f>
        <v>19592</v>
      </c>
      <c r="F9" s="700">
        <f>+'[2]prihodi aktivn sve usooredba'!E26</f>
        <v>1181000</v>
      </c>
      <c r="G9" s="700">
        <f>+'[2]prihodi aktivn sve usooredba'!F26</f>
        <v>19592</v>
      </c>
      <c r="H9" s="700">
        <f>+'[2]prihodi aktivn sve usooredba'!G26</f>
        <v>1180000</v>
      </c>
      <c r="I9" s="700">
        <f>+'[2]prihodi aktivn sve usooredba'!H26</f>
        <v>20592</v>
      </c>
      <c r="J9" s="700">
        <f>+'[2]prihodi aktivn sve usooredba'!I26</f>
        <v>1330000</v>
      </c>
      <c r="K9" s="701">
        <f t="shared" si="0"/>
        <v>111.08182400120496</v>
      </c>
      <c r="L9" s="701">
        <f t="shared" si="1"/>
        <v>99.915325994919556</v>
      </c>
      <c r="M9" s="702">
        <f t="shared" si="2"/>
        <v>112.71186440677967</v>
      </c>
      <c r="N9" s="697"/>
    </row>
    <row r="10" spans="1:14" x14ac:dyDescent="0.3">
      <c r="A10" s="698" t="s">
        <v>21</v>
      </c>
      <c r="B10" s="699" t="s">
        <v>503</v>
      </c>
      <c r="C10" s="700">
        <f>+'[2]prihodi aktivn sve usooredba'!B27</f>
        <v>0</v>
      </c>
      <c r="D10" s="700">
        <f>+'[2]prihodi aktivn sve usooredba'!C27</f>
        <v>360067</v>
      </c>
      <c r="E10" s="700">
        <f>+'[2]prihodi aktivn sve usooredba'!D27</f>
        <v>0</v>
      </c>
      <c r="F10" s="700">
        <f>+'[2]prihodi aktivn sve usooredba'!E27</f>
        <v>362000</v>
      </c>
      <c r="G10" s="700">
        <f>+'[2]prihodi aktivn sve usooredba'!F27</f>
        <v>0</v>
      </c>
      <c r="H10" s="700">
        <f>+'[2]prihodi aktivn sve usooredba'!G27</f>
        <v>360000</v>
      </c>
      <c r="I10" s="700">
        <f>+'[2]prihodi aktivn sve usooredba'!H27</f>
        <v>0</v>
      </c>
      <c r="J10" s="700">
        <f>+'[2]prihodi aktivn sve usooredba'!I27</f>
        <v>350000</v>
      </c>
      <c r="K10" s="701">
        <f t="shared" si="0"/>
        <v>99.98139235197894</v>
      </c>
      <c r="L10" s="701">
        <f t="shared" si="1"/>
        <v>99.447513812154696</v>
      </c>
      <c r="M10" s="702">
        <f t="shared" si="2"/>
        <v>97.222222222222214</v>
      </c>
      <c r="N10" s="697"/>
    </row>
    <row r="11" spans="1:14" x14ac:dyDescent="0.3">
      <c r="A11" s="698" t="s">
        <v>23</v>
      </c>
      <c r="B11" s="699" t="s">
        <v>504</v>
      </c>
      <c r="C11" s="700">
        <f>+'[2]prihodi aktivn sve usooredba'!B28</f>
        <v>3529</v>
      </c>
      <c r="D11" s="700">
        <f>+'[2]prihodi aktivn sve usooredba'!C28</f>
        <v>293402</v>
      </c>
      <c r="E11" s="700">
        <f>+'[2]prihodi aktivn sve usooredba'!D28</f>
        <v>3949</v>
      </c>
      <c r="F11" s="700">
        <f>+'[2]prihodi aktivn sve usooredba'!E28</f>
        <v>323000</v>
      </c>
      <c r="G11" s="700">
        <f>+'[2]prihodi aktivn sve usooredba'!F28</f>
        <v>3949</v>
      </c>
      <c r="H11" s="700">
        <f>+'[2]prihodi aktivn sve usooredba'!G28</f>
        <v>335000</v>
      </c>
      <c r="I11" s="700">
        <f>+'[2]prihodi aktivn sve usooredba'!H28</f>
        <v>3949</v>
      </c>
      <c r="J11" s="700">
        <f>+'[2]prihodi aktivn sve usooredba'!I28</f>
        <v>360000</v>
      </c>
      <c r="K11" s="701">
        <f t="shared" si="0"/>
        <v>114.17781746545694</v>
      </c>
      <c r="L11" s="701">
        <f t="shared" si="1"/>
        <v>103.71517027863777</v>
      </c>
      <c r="M11" s="702">
        <f t="shared" si="2"/>
        <v>107.46268656716418</v>
      </c>
      <c r="N11" s="697"/>
    </row>
    <row r="12" spans="1:14" x14ac:dyDescent="0.3">
      <c r="A12" s="698" t="s">
        <v>29</v>
      </c>
      <c r="B12" s="699" t="s">
        <v>505</v>
      </c>
      <c r="C12" s="700">
        <f>+'[2]prihodi aktivn sve usooredba'!B29</f>
        <v>45339</v>
      </c>
      <c r="D12" s="700">
        <f>+'[2]prihodi aktivn sve usooredba'!C29</f>
        <v>1183630</v>
      </c>
      <c r="E12" s="700">
        <f>+'[2]prihodi aktivn sve usooredba'!D29</f>
        <v>44357</v>
      </c>
      <c r="F12" s="700">
        <f>+'[2]prihodi aktivn sve usooredba'!E29</f>
        <v>1294000</v>
      </c>
      <c r="G12" s="700">
        <f>+'[2]prihodi aktivn sve usooredba'!F29</f>
        <v>44357</v>
      </c>
      <c r="H12" s="700">
        <f>+'[2]prihodi aktivn sve usooredba'!G29</f>
        <v>1230000</v>
      </c>
      <c r="I12" s="700">
        <f>+'[2]prihodi aktivn sve usooredba'!H29</f>
        <v>44357</v>
      </c>
      <c r="J12" s="700">
        <f>+'[2]prihodi aktivn sve usooredba'!I29</f>
        <v>1380000</v>
      </c>
      <c r="K12" s="701">
        <f t="shared" si="0"/>
        <v>103.91760938806891</v>
      </c>
      <c r="L12" s="701">
        <f t="shared" si="1"/>
        <v>95.054095826893359</v>
      </c>
      <c r="M12" s="702">
        <f t="shared" si="2"/>
        <v>112.19512195121952</v>
      </c>
      <c r="N12" s="697"/>
    </row>
    <row r="13" spans="1:14" x14ac:dyDescent="0.3">
      <c r="A13" s="698" t="s">
        <v>494</v>
      </c>
      <c r="B13" s="699" t="s">
        <v>506</v>
      </c>
      <c r="C13" s="700">
        <f>+'[2]prihodi aktivn sve usooredba'!B30</f>
        <v>92431</v>
      </c>
      <c r="D13" s="700">
        <f>+'[2]prihodi aktivn sve usooredba'!C30</f>
        <v>2242268</v>
      </c>
      <c r="E13" s="700">
        <f>+'[2]prihodi aktivn sve usooredba'!D30</f>
        <v>93043</v>
      </c>
      <c r="F13" s="700">
        <f>+'[2]prihodi aktivn sve usooredba'!E30</f>
        <v>2612000</v>
      </c>
      <c r="G13" s="700">
        <f>+'[2]prihodi aktivn sve usooredba'!F30</f>
        <v>93043</v>
      </c>
      <c r="H13" s="700">
        <f>+'[2]prihodi aktivn sve usooredba'!G30</f>
        <v>2740000</v>
      </c>
      <c r="I13" s="700">
        <f>+'[2]prihodi aktivn sve usooredba'!H30</f>
        <v>93043</v>
      </c>
      <c r="J13" s="700">
        <f>+'[2]prihodi aktivn sve usooredba'!I30</f>
        <v>2994000</v>
      </c>
      <c r="K13" s="701">
        <f t="shared" si="0"/>
        <v>122.19770339673937</v>
      </c>
      <c r="L13" s="701">
        <f t="shared" si="1"/>
        <v>104.90045941807044</v>
      </c>
      <c r="M13" s="702">
        <f t="shared" si="2"/>
        <v>109.27007299270073</v>
      </c>
      <c r="N13" s="697"/>
    </row>
    <row r="14" spans="1:14" s="709" customFormat="1" x14ac:dyDescent="0.25">
      <c r="A14" s="703"/>
      <c r="B14" s="704" t="s">
        <v>488</v>
      </c>
      <c r="C14" s="705">
        <f t="shared" ref="C14:I14" si="3">SUM(C8:C13)</f>
        <v>174336</v>
      </c>
      <c r="D14" s="706">
        <f t="shared" si="3"/>
        <v>6688562</v>
      </c>
      <c r="E14" s="706">
        <f t="shared" si="3"/>
        <v>175877</v>
      </c>
      <c r="F14" s="706">
        <f t="shared" si="3"/>
        <v>7500000</v>
      </c>
      <c r="G14" s="706">
        <f t="shared" si="3"/>
        <v>175877</v>
      </c>
      <c r="H14" s="706">
        <f t="shared" si="3"/>
        <v>7565000</v>
      </c>
      <c r="I14" s="706">
        <f t="shared" si="3"/>
        <v>176877</v>
      </c>
      <c r="J14" s="706">
        <f t="shared" ref="J14" si="4">SUM(J8:J13)</f>
        <v>8264000</v>
      </c>
      <c r="K14" s="707">
        <f t="shared" si="0"/>
        <v>113.10353406307662</v>
      </c>
      <c r="L14" s="707">
        <f t="shared" si="1"/>
        <v>100.86666666666666</v>
      </c>
      <c r="M14" s="708">
        <f t="shared" si="2"/>
        <v>109.23992068737607</v>
      </c>
    </row>
  </sheetData>
  <mergeCells count="8">
    <mergeCell ref="A4:A6"/>
    <mergeCell ref="B4:B6"/>
    <mergeCell ref="C4:D5"/>
    <mergeCell ref="E4:H4"/>
    <mergeCell ref="I4:J5"/>
    <mergeCell ref="K4:M5"/>
    <mergeCell ref="E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1-Zaposlenost</vt:lpstr>
      <vt:lpstr>2-Račun dobiti i gubitka</vt:lpstr>
      <vt:lpstr>3-Bilanca</vt:lpstr>
      <vt:lpstr>4-Investicije(A)</vt:lpstr>
      <vt:lpstr>5-Novčani tijek</vt:lpstr>
      <vt:lpstr>7-Tablice plana</vt:lpstr>
      <vt:lpstr>8-Prihodi sajmova</vt:lpstr>
      <vt:lpstr>9-Prihodi dog.i priv.najam</vt:lpstr>
      <vt:lpstr>10-Prihodi zakup</vt:lpstr>
      <vt:lpstr>11-FOI</vt:lpstr>
      <vt:lpstr>12-Tekuće održavanje</vt:lpstr>
      <vt:lpstr>13-Utrošak energije</vt:lpstr>
      <vt:lpstr>14 - Investicije (B)</vt:lpstr>
      <vt:lpstr>15-Investicije (C)</vt:lpstr>
      <vt:lpstr>16-Ključni pokazatelji</vt:lpstr>
      <vt:lpstr>'3-Bilanca'!aktiva1</vt:lpstr>
      <vt:lpstr>'3-Bilanca'!pasiva1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 Rogić</dc:creator>
  <cp:lastModifiedBy>Matija Šikić</cp:lastModifiedBy>
  <cp:lastPrinted>2024-12-31T08:31:41Z</cp:lastPrinted>
  <dcterms:created xsi:type="dcterms:W3CDTF">2024-12-31T08:11:55Z</dcterms:created>
  <dcterms:modified xsi:type="dcterms:W3CDTF">2025-01-02T12:19:12Z</dcterms:modified>
</cp:coreProperties>
</file>